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 activeTab="2"/>
  </bookViews>
  <sheets>
    <sheet name="IYE ACUM OCT" sheetId="2" r:id="rId1"/>
    <sheet name="IYE ACUM NOV" sheetId="3" r:id="rId2"/>
    <sheet name="IYE ACUM DIC 1" sheetId="4" r:id="rId3"/>
  </sheets>
  <externalReferences>
    <externalReference r:id="rId4"/>
    <externalReference r:id="rId5"/>
    <externalReference r:id="rId6"/>
    <externalReference r:id="rId7"/>
  </externalReferences>
  <definedNames>
    <definedName name="_xlnm.Print_Area" localSheetId="2">'IYE ACUM DIC 1'!$B$2:$I$88</definedName>
    <definedName name="_xlnm.Print_Area" localSheetId="1">'IYE ACUM NOV'!$B$2:$I$88</definedName>
    <definedName name="_xlnm.Print_Area" localSheetId="0">'IYE ACUM OCT'!$A$2:$H$88</definedName>
  </definedNames>
  <calcPr calcId="144525" calcOnSave="0"/>
</workbook>
</file>

<file path=xl/calcChain.xml><?xml version="1.0" encoding="utf-8"?>
<calcChain xmlns="http://schemas.openxmlformats.org/spreadsheetml/2006/main">
  <c r="G79" i="4" l="1"/>
  <c r="E79" i="4"/>
  <c r="G78" i="4"/>
  <c r="E78" i="4"/>
  <c r="G77" i="4"/>
  <c r="E77" i="4"/>
  <c r="G76" i="4"/>
  <c r="E76" i="4"/>
  <c r="G75" i="4"/>
  <c r="E75" i="4"/>
  <c r="G74" i="4"/>
  <c r="H79" i="4" s="1"/>
  <c r="E74" i="4"/>
  <c r="F79" i="4" s="1"/>
  <c r="H72" i="4"/>
  <c r="F72" i="4"/>
  <c r="H71" i="4"/>
  <c r="F71" i="4"/>
  <c r="H70" i="4"/>
  <c r="F70" i="4"/>
  <c r="H69" i="4"/>
  <c r="F69" i="4"/>
  <c r="F80" i="4" s="1"/>
  <c r="E64" i="4"/>
  <c r="G62" i="4"/>
  <c r="H64" i="4" s="1"/>
  <c r="E62" i="4"/>
  <c r="F64" i="4" s="1"/>
  <c r="F52" i="4"/>
  <c r="H52" i="4" s="1"/>
  <c r="H51" i="4"/>
  <c r="F51" i="4"/>
  <c r="F50" i="4"/>
  <c r="H50" i="4" s="1"/>
  <c r="H53" i="4" s="1"/>
  <c r="F44" i="4"/>
  <c r="H44" i="4" s="1"/>
  <c r="F43" i="4"/>
  <c r="H43" i="4" s="1"/>
  <c r="H42" i="4"/>
  <c r="F42" i="4"/>
  <c r="F41" i="4"/>
  <c r="H41" i="4" s="1"/>
  <c r="F40" i="4"/>
  <c r="H40" i="4" s="1"/>
  <c r="H39" i="4"/>
  <c r="F39" i="4"/>
  <c r="F45" i="4" s="1"/>
  <c r="F34" i="4"/>
  <c r="H34" i="4" s="1"/>
  <c r="F29" i="4"/>
  <c r="H29" i="4" s="1"/>
  <c r="H28" i="4"/>
  <c r="F28" i="4"/>
  <c r="F27" i="4"/>
  <c r="H27" i="4" s="1"/>
  <c r="F26" i="4"/>
  <c r="H26" i="4" s="1"/>
  <c r="H25" i="4"/>
  <c r="F25" i="4"/>
  <c r="H24" i="4"/>
  <c r="H23" i="4"/>
  <c r="F23" i="4"/>
  <c r="F22" i="4"/>
  <c r="F30" i="4" s="1"/>
  <c r="H17" i="4"/>
  <c r="F17" i="4"/>
  <c r="F16" i="4"/>
  <c r="H16" i="4" s="1"/>
  <c r="F15" i="4"/>
  <c r="F18" i="4" s="1"/>
  <c r="F10" i="4"/>
  <c r="H10" i="4" s="1"/>
  <c r="F9" i="4"/>
  <c r="F11" i="4" s="1"/>
  <c r="F32" i="4" s="1"/>
  <c r="F36" i="4" s="1"/>
  <c r="F47" i="4" l="1"/>
  <c r="H45" i="4"/>
  <c r="H55" i="4" s="1"/>
  <c r="H80" i="4"/>
  <c r="H22" i="4"/>
  <c r="H30" i="4" s="1"/>
  <c r="H9" i="4"/>
  <c r="H11" i="4" s="1"/>
  <c r="H15" i="4"/>
  <c r="H18" i="4" s="1"/>
  <c r="F53" i="4"/>
  <c r="F55" i="4" s="1"/>
  <c r="F57" i="4" s="1"/>
  <c r="G79" i="3"/>
  <c r="E79" i="3"/>
  <c r="G78" i="3"/>
  <c r="E78" i="3"/>
  <c r="G77" i="3"/>
  <c r="E77" i="3"/>
  <c r="G76" i="3"/>
  <c r="E76" i="3"/>
  <c r="G75" i="3"/>
  <c r="E75" i="3"/>
  <c r="G74" i="3"/>
  <c r="H79" i="3" s="1"/>
  <c r="E74" i="3"/>
  <c r="F79" i="3" s="1"/>
  <c r="H72" i="3"/>
  <c r="F72" i="3"/>
  <c r="H71" i="3"/>
  <c r="F71" i="3"/>
  <c r="H70" i="3"/>
  <c r="F70" i="3"/>
  <c r="H69" i="3"/>
  <c r="F69" i="3"/>
  <c r="H64" i="3"/>
  <c r="G64" i="3"/>
  <c r="E64" i="3"/>
  <c r="E63" i="3"/>
  <c r="E62" i="3"/>
  <c r="F64" i="3" s="1"/>
  <c r="F52" i="3"/>
  <c r="H52" i="3" s="1"/>
  <c r="H51" i="3"/>
  <c r="F51" i="3"/>
  <c r="F50" i="3"/>
  <c r="H50" i="3" s="1"/>
  <c r="H53" i="3" s="1"/>
  <c r="F44" i="3"/>
  <c r="H44" i="3" s="1"/>
  <c r="H43" i="3"/>
  <c r="F43" i="3"/>
  <c r="H42" i="3"/>
  <c r="F42" i="3"/>
  <c r="F41" i="3"/>
  <c r="H41" i="3" s="1"/>
  <c r="H40" i="3"/>
  <c r="F40" i="3"/>
  <c r="H39" i="3"/>
  <c r="F39" i="3"/>
  <c r="F45" i="3" s="1"/>
  <c r="H34" i="3"/>
  <c r="F34" i="3"/>
  <c r="H29" i="3"/>
  <c r="F29" i="3"/>
  <c r="H28" i="3"/>
  <c r="F28" i="3"/>
  <c r="F27" i="3"/>
  <c r="H27" i="3" s="1"/>
  <c r="H26" i="3"/>
  <c r="F26" i="3"/>
  <c r="H25" i="3"/>
  <c r="H24" i="3"/>
  <c r="F23" i="3"/>
  <c r="H23" i="3" s="1"/>
  <c r="H22" i="3"/>
  <c r="F22" i="3"/>
  <c r="F17" i="3"/>
  <c r="H17" i="3" s="1"/>
  <c r="H16" i="3"/>
  <c r="F16" i="3"/>
  <c r="H15" i="3"/>
  <c r="H18" i="3" s="1"/>
  <c r="F15" i="3"/>
  <c r="F18" i="3" s="1"/>
  <c r="F11" i="3"/>
  <c r="H10" i="3"/>
  <c r="F10" i="3"/>
  <c r="H9" i="3"/>
  <c r="H11" i="3" s="1"/>
  <c r="F9" i="3"/>
  <c r="H32" i="4" l="1"/>
  <c r="H36" i="4" s="1"/>
  <c r="F55" i="3"/>
  <c r="F32" i="3"/>
  <c r="F36" i="3" s="1"/>
  <c r="H45" i="3"/>
  <c r="H55" i="3" s="1"/>
  <c r="F80" i="3"/>
  <c r="H30" i="3"/>
  <c r="H32" i="3" s="1"/>
  <c r="H36" i="3" s="1"/>
  <c r="H80" i="3"/>
  <c r="F30" i="3"/>
  <c r="F53" i="3"/>
  <c r="H57" i="4" l="1"/>
  <c r="H47" i="4"/>
  <c r="H57" i="3"/>
  <c r="H47" i="3"/>
  <c r="F57" i="3"/>
  <c r="F47" i="3"/>
  <c r="F79" i="2" l="1"/>
  <c r="D79" i="2"/>
  <c r="F78" i="2"/>
  <c r="D78" i="2"/>
  <c r="F77" i="2"/>
  <c r="D77" i="2"/>
  <c r="F76" i="2"/>
  <c r="D76" i="2"/>
  <c r="F75" i="2"/>
  <c r="D75" i="2"/>
  <c r="F74" i="2"/>
  <c r="G79" i="2" s="1"/>
  <c r="D74" i="2"/>
  <c r="G72" i="2"/>
  <c r="E72" i="2"/>
  <c r="G71" i="2"/>
  <c r="E71" i="2"/>
  <c r="G70" i="2"/>
  <c r="E70" i="2"/>
  <c r="G69" i="2"/>
  <c r="E69" i="2"/>
  <c r="D64" i="2"/>
  <c r="F64" i="2" s="1"/>
  <c r="G64" i="2" s="1"/>
  <c r="F62" i="2"/>
  <c r="E52" i="2"/>
  <c r="G52" i="2" s="1"/>
  <c r="E51" i="2"/>
  <c r="G51" i="2" s="1"/>
  <c r="E50" i="2"/>
  <c r="E53" i="2" s="1"/>
  <c r="G44" i="2"/>
  <c r="E44" i="2"/>
  <c r="G43" i="2"/>
  <c r="E43" i="2"/>
  <c r="E42" i="2"/>
  <c r="G42" i="2" s="1"/>
  <c r="G41" i="2"/>
  <c r="E41" i="2"/>
  <c r="E40" i="2"/>
  <c r="G40" i="2" s="1"/>
  <c r="E39" i="2"/>
  <c r="G39" i="2" s="1"/>
  <c r="G45" i="2" s="1"/>
  <c r="G34" i="2"/>
  <c r="E34" i="2"/>
  <c r="G29" i="2"/>
  <c r="E29" i="2"/>
  <c r="E28" i="2"/>
  <c r="G28" i="2" s="1"/>
  <c r="G27" i="2"/>
  <c r="E27" i="2"/>
  <c r="G26" i="2"/>
  <c r="G25" i="2"/>
  <c r="G24" i="2"/>
  <c r="E23" i="2"/>
  <c r="G23" i="2" s="1"/>
  <c r="E22" i="2"/>
  <c r="E30" i="2" s="1"/>
  <c r="E17" i="2"/>
  <c r="G17" i="2" s="1"/>
  <c r="E16" i="2"/>
  <c r="G16" i="2" s="1"/>
  <c r="G15" i="2"/>
  <c r="E15" i="2"/>
  <c r="E18" i="2" s="1"/>
  <c r="E10" i="2"/>
  <c r="G10" i="2" s="1"/>
  <c r="E9" i="2"/>
  <c r="G9" i="2" s="1"/>
  <c r="G11" i="2" s="1"/>
  <c r="E11" i="2" l="1"/>
  <c r="G50" i="2"/>
  <c r="E79" i="2"/>
  <c r="G18" i="2"/>
  <c r="E80" i="2"/>
  <c r="E32" i="2"/>
  <c r="E36" i="2" s="1"/>
  <c r="G53" i="2"/>
  <c r="G55" i="2" s="1"/>
  <c r="G80" i="2"/>
  <c r="E45" i="2"/>
  <c r="E55" i="2" s="1"/>
  <c r="E64" i="2"/>
  <c r="G22" i="2"/>
  <c r="G30" i="2" s="1"/>
  <c r="G32" i="2" l="1"/>
  <c r="G36" i="2" s="1"/>
  <c r="G57" i="2" s="1"/>
  <c r="G47" i="2"/>
  <c r="E57" i="2"/>
  <c r="E47" i="2"/>
</calcChain>
</file>

<file path=xl/sharedStrings.xml><?xml version="1.0" encoding="utf-8"?>
<sst xmlns="http://schemas.openxmlformats.org/spreadsheetml/2006/main" count="213" uniqueCount="76">
  <si>
    <t>UNIVERSIDAD AUTONOMA DE CHIHUAHUA</t>
  </si>
  <si>
    <t>ESTADO DE INGRESOS Y EGRESOS</t>
  </si>
  <si>
    <t>DEL 1º AL 31  DE DICIEMBRE DE 2011</t>
  </si>
  <si>
    <t>SUBSIDIOS</t>
  </si>
  <si>
    <t>MENSUAL</t>
  </si>
  <si>
    <t>ACUMULADO</t>
  </si>
  <si>
    <t>FEDERAL ORDINARIO</t>
  </si>
  <si>
    <t>ESTATAL ORDINARIO</t>
  </si>
  <si>
    <t>TOTAL DE SUBSIDIOS</t>
  </si>
  <si>
    <t>INGRESOS PROPIOS</t>
  </si>
  <si>
    <t>LICENCIATURA</t>
  </si>
  <si>
    <t>POSGRADO</t>
  </si>
  <si>
    <t>INCORPORADO</t>
  </si>
  <si>
    <t>TOTAL DE INGRESOS PROPIOS</t>
  </si>
  <si>
    <t>OTROS INGRESOS</t>
  </si>
  <si>
    <t>SERVICIOS</t>
  </si>
  <si>
    <t>PRODUCTOS FINANCIEROS</t>
  </si>
  <si>
    <t>EVENTOS</t>
  </si>
  <si>
    <t>DONACIONES</t>
  </si>
  <si>
    <t>OTROS PRODUCTOS</t>
  </si>
  <si>
    <t>VENTA DE PRODUCTOS</t>
  </si>
  <si>
    <t>IMPUESTO UNIVERSITARIO MUNICIPAL</t>
  </si>
  <si>
    <t>CONVENIOS</t>
  </si>
  <si>
    <t>TOTAL DE OTROS INGRESOS</t>
  </si>
  <si>
    <t>TOTAL DE INGRESOS</t>
  </si>
  <si>
    <t>BECAS Y CONDONACIONES</t>
  </si>
  <si>
    <t>INGRESOS NETOS</t>
  </si>
  <si>
    <t>GASTOS DE OPERACIÓN</t>
  </si>
  <si>
    <t>SERVICIOS PERSONALES</t>
  </si>
  <si>
    <t>MATERIALES DE CONSUMO</t>
  </si>
  <si>
    <t>SERVICIOS GENERALES</t>
  </si>
  <si>
    <t>BECAS ECONOMICAS</t>
  </si>
  <si>
    <t>COSTOS DE PRODUCCION</t>
  </si>
  <si>
    <t>APOYOS</t>
  </si>
  <si>
    <t>TOTAL DE GASTOS DE OPERACIÓN</t>
  </si>
  <si>
    <t>REMANENTE DE OPERACIÓN</t>
  </si>
  <si>
    <t>INVERSIONES</t>
  </si>
  <si>
    <t>MOBILIARIO Y EQUIPO</t>
  </si>
  <si>
    <t>CONST. E INSTALACIONES</t>
  </si>
  <si>
    <t>OTROS</t>
  </si>
  <si>
    <t>TOTAL DE INVERSIONES</t>
  </si>
  <si>
    <t>TOTAL DE EGRESOS</t>
  </si>
  <si>
    <t>(DEFICIT) REMANENTE DE INGRESOS SOBRE EGRESOS</t>
  </si>
  <si>
    <t>APLICADO A:</t>
  </si>
  <si>
    <t>CAJA Y BANCOS</t>
  </si>
  <si>
    <t>CUENTAS DE ACTIVO</t>
  </si>
  <si>
    <t>PAGO DE PASIVOS</t>
  </si>
  <si>
    <t>PATRIMONIO</t>
  </si>
  <si>
    <t>SALDOS EN EFECTIVO</t>
  </si>
  <si>
    <t xml:space="preserve">    AL 30 DE NOVIEMBRE DE 2011</t>
  </si>
  <si>
    <t xml:space="preserve">    AL 31 DE DICIEMBRE DE 2011</t>
  </si>
  <si>
    <t>FONDOS FIJOS CAJA U.C.</t>
  </si>
  <si>
    <t>FONDOS FIJOS DE CAJA FAC.</t>
  </si>
  <si>
    <t>BANCOS UNIDAD CENTRAL</t>
  </si>
  <si>
    <t>BANCOS FACULTADES</t>
  </si>
  <si>
    <t>FONDOS COMPROMETIDOS:</t>
  </si>
  <si>
    <t>PIFI</t>
  </si>
  <si>
    <t>PROMEP</t>
  </si>
  <si>
    <t>PEF</t>
  </si>
  <si>
    <t>RECURSOS FAM</t>
  </si>
  <si>
    <t>IMPTO. MUNICIPAL UNIV.</t>
  </si>
  <si>
    <t>TOTAL EFECTIVO</t>
  </si>
  <si>
    <t>ING. FRANCISCO ESPINO DE LA O</t>
  </si>
  <si>
    <t xml:space="preserve">  M.C. JESUS ENRIQUE SEAÑEZ SAENZ</t>
  </si>
  <si>
    <t xml:space="preserve">M.D. SAUL A. MARTINEZ CAMPOS </t>
  </si>
  <si>
    <t>M.A.R.H. HORACIO JURADO MEDINA</t>
  </si>
  <si>
    <t xml:space="preserve">           PATRONATO</t>
  </si>
  <si>
    <t xml:space="preserve">                                                   RECTOR</t>
  </si>
  <si>
    <t xml:space="preserve">    SECRETARIO GENERAL</t>
  </si>
  <si>
    <t xml:space="preserve">DIRECTOR ADMINISTRATIVO      </t>
  </si>
  <si>
    <t>DEL 1º AL 31  DE OCTUBRE DE 2011</t>
  </si>
  <si>
    <t>(DEFICIT)/REMANENTE DE INGRESOS SOBRE EGRESOS</t>
  </si>
  <si>
    <t xml:space="preserve">    AL 30 DE SEPTIEMBRE DE 2011</t>
  </si>
  <si>
    <t xml:space="preserve">    AL 31 DE OCTUBRE DE 2011</t>
  </si>
  <si>
    <t>DEL 1º AL 30  DE NOVIEMBRE DE 2011</t>
  </si>
  <si>
    <t>REMANENTE DE INGRESOS SOBRE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</si>
</sst>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  <numFmt numFmtId="167" formatCode="_(* #,##0._);_(* \(#,##0.\);_(* &quot;-&quot;_);_(@_)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7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10" fillId="0" borderId="0"/>
  </cellStyleXfs>
  <cellXfs count="142">
    <xf numFmtId="0" fontId="0" fillId="0" borderId="0" xfId="0"/>
    <xf numFmtId="0" fontId="3" fillId="0" borderId="0" xfId="0" applyFont="1"/>
    <xf numFmtId="38" fontId="3" fillId="0" borderId="0" xfId="0" applyNumberFormat="1" applyFont="1"/>
    <xf numFmtId="4" fontId="3" fillId="0" borderId="0" xfId="0" applyNumberFormat="1" applyFont="1"/>
    <xf numFmtId="0" fontId="3" fillId="0" borderId="1" xfId="0" applyFont="1" applyBorder="1"/>
    <xf numFmtId="0" fontId="3" fillId="0" borderId="2" xfId="0" applyFont="1" applyBorder="1"/>
    <xf numFmtId="38" fontId="3" fillId="0" borderId="2" xfId="0" applyNumberFormat="1" applyFont="1" applyBorder="1"/>
    <xf numFmtId="38" fontId="4" fillId="0" borderId="2" xfId="0" applyNumberFormat="1" applyFont="1" applyBorder="1" applyAlignment="1">
      <alignment horizontal="center"/>
    </xf>
    <xf numFmtId="38" fontId="5" fillId="0" borderId="2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0" xfId="0" applyFont="1" applyBorder="1"/>
    <xf numFmtId="38" fontId="3" fillId="0" borderId="0" xfId="0" applyNumberFormat="1" applyFont="1" applyBorder="1"/>
    <xf numFmtId="38" fontId="6" fillId="0" borderId="0" xfId="0" applyNumberFormat="1" applyFont="1" applyBorder="1" applyAlignment="1">
      <alignment horizontal="center"/>
    </xf>
    <xf numFmtId="38" fontId="5" fillId="0" borderId="0" xfId="0" applyNumberFormat="1" applyFont="1" applyBorder="1" applyAlignment="1">
      <alignment horizontal="center"/>
    </xf>
    <xf numFmtId="0" fontId="3" fillId="0" borderId="5" xfId="0" applyFont="1" applyBorder="1"/>
    <xf numFmtId="0" fontId="5" fillId="0" borderId="1" xfId="0" applyFont="1" applyBorder="1"/>
    <xf numFmtId="0" fontId="5" fillId="0" borderId="2" xfId="0" applyFont="1" applyBorder="1"/>
    <xf numFmtId="38" fontId="5" fillId="0" borderId="2" xfId="0" applyNumberFormat="1" applyFont="1" applyBorder="1"/>
    <xf numFmtId="0" fontId="5" fillId="0" borderId="3" xfId="0" applyFont="1" applyBorder="1"/>
    <xf numFmtId="4" fontId="5" fillId="0" borderId="0" xfId="0" applyNumberFormat="1" applyFont="1"/>
    <xf numFmtId="0" fontId="7" fillId="0" borderId="4" xfId="0" applyFont="1" applyBorder="1"/>
    <xf numFmtId="0" fontId="7" fillId="0" borderId="0" xfId="0" applyFont="1" applyBorder="1"/>
    <xf numFmtId="38" fontId="3" fillId="0" borderId="0" xfId="0" applyNumberFormat="1" applyFont="1" applyFill="1" applyBorder="1"/>
    <xf numFmtId="38" fontId="3" fillId="0" borderId="6" xfId="0" applyNumberFormat="1" applyFont="1" applyBorder="1"/>
    <xf numFmtId="38" fontId="3" fillId="0" borderId="6" xfId="0" applyNumberFormat="1" applyFont="1" applyFill="1" applyBorder="1"/>
    <xf numFmtId="0" fontId="5" fillId="0" borderId="4" xfId="0" applyFont="1" applyBorder="1"/>
    <xf numFmtId="0" fontId="5" fillId="0" borderId="0" xfId="0" applyFont="1" applyBorder="1"/>
    <xf numFmtId="38" fontId="3" fillId="0" borderId="7" xfId="0" applyNumberFormat="1" applyFont="1" applyBorder="1"/>
    <xf numFmtId="38" fontId="3" fillId="0" borderId="7" xfId="0" applyNumberFormat="1" applyFont="1" applyFill="1" applyBorder="1"/>
    <xf numFmtId="165" fontId="3" fillId="0" borderId="0" xfId="1" applyNumberFormat="1" applyFont="1" applyBorder="1"/>
    <xf numFmtId="165" fontId="3" fillId="0" borderId="0" xfId="1" applyNumberFormat="1" applyFont="1" applyFill="1" applyBorder="1"/>
    <xf numFmtId="0" fontId="5" fillId="0" borderId="0" xfId="0" applyFont="1" applyFill="1" applyBorder="1"/>
    <xf numFmtId="38" fontId="5" fillId="0" borderId="0" xfId="0" applyNumberFormat="1" applyFont="1" applyBorder="1"/>
    <xf numFmtId="166" fontId="5" fillId="0" borderId="0" xfId="0" applyNumberFormat="1" applyFont="1" applyBorder="1"/>
    <xf numFmtId="166" fontId="5" fillId="0" borderId="0" xfId="0" applyNumberFormat="1" applyFont="1" applyFill="1" applyBorder="1"/>
    <xf numFmtId="38" fontId="5" fillId="0" borderId="5" xfId="0" applyNumberFormat="1" applyFont="1" applyBorder="1"/>
    <xf numFmtId="167" fontId="3" fillId="0" borderId="0" xfId="0" applyNumberFormat="1" applyFont="1" applyFill="1" applyBorder="1"/>
    <xf numFmtId="165" fontId="3" fillId="0" borderId="6" xfId="1" applyNumberFormat="1" applyFont="1" applyBorder="1"/>
    <xf numFmtId="166" fontId="5" fillId="0" borderId="6" xfId="0" applyNumberFormat="1" applyFont="1" applyBorder="1"/>
    <xf numFmtId="165" fontId="3" fillId="0" borderId="6" xfId="1" applyNumberFormat="1" applyFont="1" applyFill="1" applyBorder="1"/>
    <xf numFmtId="166" fontId="5" fillId="0" borderId="6" xfId="0" applyNumberFormat="1" applyFont="1" applyFill="1" applyBorder="1"/>
    <xf numFmtId="0" fontId="3" fillId="0" borderId="8" xfId="0" applyFont="1" applyBorder="1"/>
    <xf numFmtId="0" fontId="3" fillId="0" borderId="9" xfId="0" applyFont="1" applyBorder="1"/>
    <xf numFmtId="38" fontId="3" fillId="0" borderId="9" xfId="0" applyNumberFormat="1" applyFont="1" applyBorder="1"/>
    <xf numFmtId="0" fontId="3" fillId="0" borderId="10" xfId="0" applyFont="1" applyBorder="1"/>
    <xf numFmtId="38" fontId="5" fillId="0" borderId="0" xfId="0" applyNumberFormat="1" applyFont="1" applyFill="1" applyBorder="1"/>
    <xf numFmtId="0" fontId="5" fillId="0" borderId="5" xfId="0" applyFont="1" applyBorder="1"/>
    <xf numFmtId="4" fontId="2" fillId="0" borderId="0" xfId="0" applyNumberFormat="1" applyFont="1"/>
    <xf numFmtId="0" fontId="2" fillId="0" borderId="1" xfId="0" applyFont="1" applyBorder="1"/>
    <xf numFmtId="0" fontId="2" fillId="0" borderId="2" xfId="0" applyFont="1" applyBorder="1"/>
    <xf numFmtId="38" fontId="2" fillId="0" borderId="2" xfId="0" applyNumberFormat="1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/>
    <xf numFmtId="38" fontId="2" fillId="0" borderId="0" xfId="0" applyNumberFormat="1" applyFont="1" applyBorder="1"/>
    <xf numFmtId="0" fontId="2" fillId="0" borderId="5" xfId="0" applyFont="1" applyBorder="1"/>
    <xf numFmtId="4" fontId="8" fillId="0" borderId="0" xfId="0" applyNumberFormat="1" applyFont="1"/>
    <xf numFmtId="0" fontId="8" fillId="0" borderId="4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38" fontId="8" fillId="0" borderId="0" xfId="0" applyNumberFormat="1" applyFont="1" applyBorder="1" applyAlignment="1">
      <alignment horizontal="right"/>
    </xf>
    <xf numFmtId="38" fontId="8" fillId="0" borderId="0" xfId="0" applyNumberFormat="1" applyFont="1" applyBorder="1"/>
    <xf numFmtId="38" fontId="8" fillId="0" borderId="0" xfId="0" applyNumberFormat="1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right"/>
    </xf>
    <xf numFmtId="38" fontId="8" fillId="0" borderId="0" xfId="0" applyNumberFormat="1" applyFont="1" applyBorder="1" applyAlignment="1">
      <alignment horizontal="left"/>
    </xf>
    <xf numFmtId="0" fontId="2" fillId="0" borderId="8" xfId="0" applyFont="1" applyBorder="1"/>
    <xf numFmtId="0" fontId="2" fillId="0" borderId="9" xfId="0" applyFont="1" applyBorder="1"/>
    <xf numFmtId="38" fontId="2" fillId="0" borderId="9" xfId="0" applyNumberFormat="1" applyFont="1" applyBorder="1"/>
    <xf numFmtId="0" fontId="2" fillId="0" borderId="10" xfId="0" applyFont="1" applyBorder="1"/>
    <xf numFmtId="38" fontId="9" fillId="2" borderId="0" xfId="0" applyNumberFormat="1" applyFont="1" applyFill="1"/>
    <xf numFmtId="0" fontId="3" fillId="0" borderId="0" xfId="5" applyFont="1"/>
    <xf numFmtId="38" fontId="3" fillId="0" borderId="0" xfId="5" applyNumberFormat="1" applyFont="1"/>
    <xf numFmtId="4" fontId="3" fillId="0" borderId="0" xfId="5" applyNumberFormat="1" applyFont="1"/>
    <xf numFmtId="0" fontId="10" fillId="0" borderId="0" xfId="5"/>
    <xf numFmtId="0" fontId="3" fillId="0" borderId="1" xfId="5" applyFont="1" applyBorder="1"/>
    <xf numFmtId="0" fontId="3" fillId="0" borderId="2" xfId="5" applyFont="1" applyBorder="1"/>
    <xf numFmtId="38" fontId="3" fillId="0" borderId="2" xfId="5" applyNumberFormat="1" applyFont="1" applyBorder="1"/>
    <xf numFmtId="38" fontId="4" fillId="0" borderId="2" xfId="5" applyNumberFormat="1" applyFont="1" applyBorder="1" applyAlignment="1">
      <alignment horizontal="center"/>
    </xf>
    <xf numFmtId="38" fontId="5" fillId="0" borderId="2" xfId="5" applyNumberFormat="1" applyFont="1" applyBorder="1" applyAlignment="1">
      <alignment horizontal="center"/>
    </xf>
    <xf numFmtId="0" fontId="3" fillId="0" borderId="3" xfId="5" applyFont="1" applyBorder="1"/>
    <xf numFmtId="0" fontId="3" fillId="0" borderId="4" xfId="5" applyFont="1" applyBorder="1"/>
    <xf numFmtId="0" fontId="3" fillId="0" borderId="0" xfId="5" applyFont="1" applyBorder="1"/>
    <xf numFmtId="38" fontId="3" fillId="0" borderId="0" xfId="5" applyNumberFormat="1" applyFont="1" applyBorder="1"/>
    <xf numFmtId="38" fontId="6" fillId="0" borderId="0" xfId="5" applyNumberFormat="1" applyFont="1" applyBorder="1" applyAlignment="1">
      <alignment horizontal="center"/>
    </xf>
    <xf numFmtId="38" fontId="5" fillId="0" borderId="0" xfId="5" applyNumberFormat="1" applyFont="1" applyBorder="1" applyAlignment="1">
      <alignment horizontal="center"/>
    </xf>
    <xf numFmtId="0" fontId="3" fillId="0" borderId="5" xfId="5" applyFont="1" applyBorder="1"/>
    <xf numFmtId="0" fontId="5" fillId="0" borderId="1" xfId="5" applyFont="1" applyBorder="1"/>
    <xf numFmtId="0" fontId="5" fillId="0" borderId="2" xfId="5" applyFont="1" applyBorder="1"/>
    <xf numFmtId="38" fontId="5" fillId="0" borderId="2" xfId="5" applyNumberFormat="1" applyFont="1" applyBorder="1"/>
    <xf numFmtId="0" fontId="5" fillId="0" borderId="3" xfId="5" applyFont="1" applyBorder="1"/>
    <xf numFmtId="4" fontId="5" fillId="0" borderId="0" xfId="5" applyNumberFormat="1" applyFont="1"/>
    <xf numFmtId="0" fontId="7" fillId="0" borderId="4" xfId="5" applyFont="1" applyBorder="1"/>
    <xf numFmtId="0" fontId="7" fillId="0" borderId="0" xfId="5" applyFont="1" applyBorder="1"/>
    <xf numFmtId="38" fontId="3" fillId="0" borderId="0" xfId="5" applyNumberFormat="1" applyFont="1" applyFill="1" applyBorder="1"/>
    <xf numFmtId="38" fontId="3" fillId="0" borderId="6" xfId="5" applyNumberFormat="1" applyFont="1" applyBorder="1"/>
    <xf numFmtId="38" fontId="3" fillId="0" borderId="6" xfId="5" applyNumberFormat="1" applyFont="1" applyFill="1" applyBorder="1"/>
    <xf numFmtId="0" fontId="5" fillId="0" borderId="4" xfId="5" applyFont="1" applyBorder="1"/>
    <xf numFmtId="0" fontId="5" fillId="0" borderId="0" xfId="5" applyFont="1" applyBorder="1"/>
    <xf numFmtId="38" fontId="3" fillId="0" borderId="7" xfId="5" applyNumberFormat="1" applyFont="1" applyBorder="1"/>
    <xf numFmtId="38" fontId="3" fillId="0" borderId="7" xfId="5" applyNumberFormat="1" applyFont="1" applyFill="1" applyBorder="1"/>
    <xf numFmtId="0" fontId="5" fillId="0" borderId="0" xfId="5" applyFont="1" applyFill="1" applyBorder="1"/>
    <xf numFmtId="38" fontId="5" fillId="0" borderId="0" xfId="5" applyNumberFormat="1" applyFont="1" applyBorder="1"/>
    <xf numFmtId="166" fontId="5" fillId="0" borderId="0" xfId="5" applyNumberFormat="1" applyFont="1" applyBorder="1"/>
    <xf numFmtId="166" fontId="5" fillId="0" borderId="0" xfId="5" applyNumberFormat="1" applyFont="1" applyFill="1" applyBorder="1"/>
    <xf numFmtId="38" fontId="5" fillId="0" borderId="5" xfId="5" applyNumberFormat="1" applyFont="1" applyBorder="1"/>
    <xf numFmtId="167" fontId="3" fillId="0" borderId="0" xfId="5" applyNumberFormat="1" applyFont="1" applyFill="1" applyBorder="1"/>
    <xf numFmtId="166" fontId="5" fillId="0" borderId="6" xfId="5" applyNumberFormat="1" applyFont="1" applyBorder="1"/>
    <xf numFmtId="166" fontId="5" fillId="0" borderId="6" xfId="5" applyNumberFormat="1" applyFont="1" applyFill="1" applyBorder="1"/>
    <xf numFmtId="0" fontId="3" fillId="0" borderId="8" xfId="5" applyFont="1" applyBorder="1"/>
    <xf numFmtId="0" fontId="3" fillId="0" borderId="9" xfId="5" applyFont="1" applyBorder="1"/>
    <xf numFmtId="38" fontId="3" fillId="0" borderId="9" xfId="5" applyNumberFormat="1" applyFont="1" applyBorder="1"/>
    <xf numFmtId="0" fontId="3" fillId="0" borderId="10" xfId="5" applyFont="1" applyBorder="1"/>
    <xf numFmtId="38" fontId="5" fillId="0" borderId="0" xfId="5" applyNumberFormat="1" applyFont="1" applyFill="1" applyBorder="1"/>
    <xf numFmtId="0" fontId="5" fillId="0" borderId="5" xfId="5" applyFont="1" applyBorder="1"/>
    <xf numFmtId="4" fontId="2" fillId="0" borderId="0" xfId="5" applyNumberFormat="1" applyFont="1"/>
    <xf numFmtId="0" fontId="2" fillId="0" borderId="1" xfId="5" applyFont="1" applyBorder="1"/>
    <xf numFmtId="0" fontId="2" fillId="0" borderId="2" xfId="5" applyFont="1" applyBorder="1"/>
    <xf numFmtId="38" fontId="2" fillId="0" borderId="2" xfId="5" applyNumberFormat="1" applyFont="1" applyBorder="1"/>
    <xf numFmtId="0" fontId="2" fillId="0" borderId="3" xfId="5" applyFont="1" applyBorder="1"/>
    <xf numFmtId="0" fontId="2" fillId="0" borderId="4" xfId="5" applyFont="1" applyBorder="1"/>
    <xf numFmtId="0" fontId="2" fillId="0" borderId="0" xfId="5" applyFont="1" applyBorder="1"/>
    <xf numFmtId="38" fontId="2" fillId="0" borderId="0" xfId="5" applyNumberFormat="1" applyFont="1" applyBorder="1"/>
    <xf numFmtId="0" fontId="2" fillId="0" borderId="5" xfId="5" applyFont="1" applyBorder="1"/>
    <xf numFmtId="4" fontId="8" fillId="0" borderId="0" xfId="5" applyNumberFormat="1" applyFont="1"/>
    <xf numFmtId="0" fontId="8" fillId="0" borderId="4" xfId="5" applyFont="1" applyBorder="1"/>
    <xf numFmtId="0" fontId="8" fillId="0" borderId="0" xfId="5" applyFont="1" applyBorder="1"/>
    <xf numFmtId="0" fontId="8" fillId="0" borderId="0" xfId="5" applyFont="1" applyBorder="1" applyAlignment="1">
      <alignment horizontal="center"/>
    </xf>
    <xf numFmtId="38" fontId="8" fillId="0" borderId="0" xfId="5" applyNumberFormat="1" applyFont="1" applyBorder="1" applyAlignment="1">
      <alignment horizontal="right"/>
    </xf>
    <xf numFmtId="38" fontId="8" fillId="0" borderId="0" xfId="5" applyNumberFormat="1" applyFont="1" applyBorder="1"/>
    <xf numFmtId="38" fontId="8" fillId="0" borderId="0" xfId="5" applyNumberFormat="1" applyFont="1" applyBorder="1" applyAlignment="1">
      <alignment horizontal="center"/>
    </xf>
    <xf numFmtId="0" fontId="8" fillId="0" borderId="5" xfId="5" applyFont="1" applyBorder="1" applyAlignment="1">
      <alignment horizontal="right"/>
    </xf>
    <xf numFmtId="0" fontId="8" fillId="0" borderId="4" xfId="5" applyFont="1" applyBorder="1" applyAlignment="1">
      <alignment horizontal="left"/>
    </xf>
    <xf numFmtId="0" fontId="8" fillId="0" borderId="0" xfId="5" applyFont="1" applyBorder="1" applyAlignment="1">
      <alignment horizontal="right"/>
    </xf>
    <xf numFmtId="38" fontId="8" fillId="0" borderId="0" xfId="5" applyNumberFormat="1" applyFont="1" applyBorder="1" applyAlignment="1">
      <alignment horizontal="left"/>
    </xf>
    <xf numFmtId="0" fontId="2" fillId="0" borderId="8" xfId="5" applyFont="1" applyBorder="1"/>
    <xf numFmtId="0" fontId="2" fillId="0" borderId="9" xfId="5" applyFont="1" applyBorder="1"/>
    <xf numFmtId="38" fontId="2" fillId="0" borderId="9" xfId="5" applyNumberFormat="1" applyFont="1" applyBorder="1"/>
    <xf numFmtId="0" fontId="2" fillId="0" borderId="10" xfId="5" applyFont="1" applyBorder="1"/>
    <xf numFmtId="38" fontId="9" fillId="2" borderId="0" xfId="5" applyNumberFormat="1" applyFont="1" applyFill="1"/>
  </cellXfs>
  <cellStyles count="6">
    <cellStyle name="Millares" xfId="1" builtinId="3"/>
    <cellStyle name="Millares 2" xfId="2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66675</xdr:rowOff>
        </xdr:from>
        <xdr:to>
          <xdr:col>2</xdr:col>
          <xdr:colOff>685800</xdr:colOff>
          <xdr:row>5</xdr:row>
          <xdr:rowOff>180975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66675</xdr:rowOff>
        </xdr:from>
        <xdr:to>
          <xdr:col>3</xdr:col>
          <xdr:colOff>685800</xdr:colOff>
          <xdr:row>5</xdr:row>
          <xdr:rowOff>180975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66675</xdr:rowOff>
        </xdr:from>
        <xdr:to>
          <xdr:col>3</xdr:col>
          <xdr:colOff>685800</xdr:colOff>
          <xdr:row>5</xdr:row>
          <xdr:rowOff>180975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%20Casillas/Documents/CUADROS/2011/OC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%20Casillas/Documents/CUADROS/2011/SEP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%20Casillas/Documents/CUADROS/2011/NOV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%20Casillas/Documents/CUADROS/2011/D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New Patronato"/>
      <sheetName val="Patronato"/>
      <sheetName val="COMPRES"/>
      <sheetName val="BAL"/>
      <sheetName val="BALCOM"/>
      <sheetName val="rdo"/>
      <sheetName val="RDOACUM"/>
      <sheetName val="mesvsmes"/>
      <sheetName val="IYE"/>
      <sheetName val="CAJA"/>
      <sheetName val="CUSTODIA"/>
      <sheetName val="balan"/>
      <sheetName val="GRAFICO"/>
      <sheetName val="COMPARATIVO GLOBAL"/>
    </sheetNames>
    <sheetDataSet>
      <sheetData sheetId="0"/>
      <sheetData sheetId="1"/>
      <sheetData sheetId="2">
        <row r="9">
          <cell r="G9">
            <v>531991791</v>
          </cell>
        </row>
        <row r="10">
          <cell r="G10">
            <v>317016690</v>
          </cell>
        </row>
        <row r="15">
          <cell r="G15">
            <v>194852995.65000001</v>
          </cell>
        </row>
        <row r="16">
          <cell r="G16">
            <v>85803570.489999995</v>
          </cell>
        </row>
        <row r="17">
          <cell r="G17">
            <v>6334926</v>
          </cell>
        </row>
        <row r="22">
          <cell r="G22">
            <v>77088191.920000002</v>
          </cell>
        </row>
        <row r="23">
          <cell r="G23">
            <v>3292880</v>
          </cell>
        </row>
        <row r="24">
          <cell r="G24">
            <v>1022482</v>
          </cell>
        </row>
        <row r="25">
          <cell r="G25">
            <v>2658980.9600000004</v>
          </cell>
        </row>
        <row r="26">
          <cell r="G26">
            <v>32356505.699999999</v>
          </cell>
        </row>
        <row r="27">
          <cell r="G27">
            <v>5236803.0199999996</v>
          </cell>
        </row>
        <row r="28">
          <cell r="G28">
            <v>24811243.530000001</v>
          </cell>
        </row>
        <row r="29">
          <cell r="G29">
            <v>56156440.750000007</v>
          </cell>
        </row>
        <row r="34">
          <cell r="G34">
            <v>55840727.95000001</v>
          </cell>
        </row>
        <row r="39">
          <cell r="G39">
            <v>794871370.43999994</v>
          </cell>
        </row>
        <row r="40">
          <cell r="G40">
            <v>66996660.269999988</v>
          </cell>
        </row>
        <row r="41">
          <cell r="G41">
            <v>183819725.56</v>
          </cell>
        </row>
        <row r="42">
          <cell r="G42">
            <v>0</v>
          </cell>
        </row>
        <row r="43">
          <cell r="G43">
            <v>6851367.4900000002</v>
          </cell>
        </row>
        <row r="44">
          <cell r="G44">
            <v>39140871.080000006</v>
          </cell>
        </row>
        <row r="50">
          <cell r="G50">
            <v>43206555.179999992</v>
          </cell>
        </row>
        <row r="51">
          <cell r="G51">
            <v>35917321.739999995</v>
          </cell>
        </row>
        <row r="52">
          <cell r="G52">
            <v>4496100.37</v>
          </cell>
        </row>
        <row r="69">
          <cell r="G69">
            <v>231128.93</v>
          </cell>
        </row>
        <row r="70">
          <cell r="G70">
            <v>165352.18</v>
          </cell>
        </row>
        <row r="71">
          <cell r="G71">
            <v>46047283.480000004</v>
          </cell>
        </row>
        <row r="72">
          <cell r="G72">
            <v>44454646.130000003</v>
          </cell>
        </row>
        <row r="74">
          <cell r="F74">
            <v>14560395.27</v>
          </cell>
        </row>
        <row r="75">
          <cell r="F75">
            <v>18213137.039999999</v>
          </cell>
        </row>
        <row r="76">
          <cell r="F76">
            <v>116037.55</v>
          </cell>
        </row>
        <row r="77">
          <cell r="F77">
            <v>4701726.5299999993</v>
          </cell>
        </row>
        <row r="78">
          <cell r="F78">
            <v>54287008.589999996</v>
          </cell>
        </row>
        <row r="79">
          <cell r="F79">
            <v>14669804.270000001</v>
          </cell>
        </row>
      </sheetData>
      <sheetData sheetId="3">
        <row r="17">
          <cell r="L17">
            <v>87194334.082562476</v>
          </cell>
        </row>
      </sheetData>
      <sheetData sheetId="4"/>
      <sheetData sheetId="5">
        <row r="13">
          <cell r="E13">
            <v>396481.11</v>
          </cell>
        </row>
        <row r="40">
          <cell r="N40">
            <v>0</v>
          </cell>
        </row>
        <row r="41">
          <cell r="N41">
            <v>0.21000003814697266</v>
          </cell>
        </row>
      </sheetData>
      <sheetData sheetId="6">
        <row r="6">
          <cell r="E6">
            <v>72372000</v>
          </cell>
        </row>
      </sheetData>
      <sheetData sheetId="7">
        <row r="6">
          <cell r="X6">
            <v>531991791</v>
          </cell>
        </row>
      </sheetData>
      <sheetData sheetId="8">
        <row r="7">
          <cell r="J7">
            <v>531991791</v>
          </cell>
        </row>
      </sheetData>
      <sheetData sheetId="9">
        <row r="6">
          <cell r="W6">
            <v>72372000</v>
          </cell>
        </row>
        <row r="7">
          <cell r="W7">
            <v>28819699</v>
          </cell>
        </row>
        <row r="8">
          <cell r="W8">
            <v>0</v>
          </cell>
        </row>
        <row r="14">
          <cell r="W14">
            <v>5581171.2799999993</v>
          </cell>
        </row>
        <row r="15">
          <cell r="W15">
            <v>4840794.67</v>
          </cell>
        </row>
        <row r="16">
          <cell r="W16">
            <v>2504909.25</v>
          </cell>
        </row>
        <row r="17">
          <cell r="W17">
            <v>6443361.0099999998</v>
          </cell>
        </row>
        <row r="18">
          <cell r="W18">
            <v>1028962</v>
          </cell>
        </row>
        <row r="20">
          <cell r="W20">
            <v>598585.46</v>
          </cell>
        </row>
        <row r="21">
          <cell r="W21">
            <v>338999.18</v>
          </cell>
        </row>
        <row r="22">
          <cell r="W22">
            <v>288529.18</v>
          </cell>
        </row>
        <row r="28">
          <cell r="W28">
            <v>2040976.35</v>
          </cell>
        </row>
        <row r="34">
          <cell r="W34">
            <v>84887866.739999995</v>
          </cell>
        </row>
        <row r="35">
          <cell r="W35">
            <v>15906768.25</v>
          </cell>
        </row>
        <row r="36">
          <cell r="W36">
            <v>5632409.3399999999</v>
          </cell>
        </row>
        <row r="37">
          <cell r="W37">
            <v>3877902.06</v>
          </cell>
        </row>
        <row r="38">
          <cell r="W38">
            <v>4501734.8499999996</v>
          </cell>
        </row>
        <row r="48">
          <cell r="W48">
            <v>652208.77</v>
          </cell>
        </row>
        <row r="51">
          <cell r="W51">
            <v>0</v>
          </cell>
        </row>
        <row r="52">
          <cell r="W52">
            <v>32686</v>
          </cell>
        </row>
        <row r="53">
          <cell r="W53">
            <v>0</v>
          </cell>
        </row>
        <row r="54">
          <cell r="W54">
            <v>7897506.7299999995</v>
          </cell>
        </row>
        <row r="55">
          <cell r="W55">
            <v>0</v>
          </cell>
        </row>
        <row r="56">
          <cell r="W56">
            <v>383773.22</v>
          </cell>
        </row>
        <row r="57">
          <cell r="W57">
            <v>45361.13</v>
          </cell>
        </row>
        <row r="58">
          <cell r="W58">
            <v>0</v>
          </cell>
        </row>
        <row r="59">
          <cell r="W59">
            <v>5305.33</v>
          </cell>
        </row>
        <row r="60">
          <cell r="W60">
            <v>0</v>
          </cell>
        </row>
        <row r="61">
          <cell r="W61">
            <v>0</v>
          </cell>
        </row>
        <row r="66">
          <cell r="W66">
            <v>356632</v>
          </cell>
        </row>
        <row r="67">
          <cell r="W67">
            <v>2274009.61</v>
          </cell>
        </row>
        <row r="68">
          <cell r="W68">
            <v>619381.48</v>
          </cell>
        </row>
        <row r="69">
          <cell r="W69">
            <v>37252.080000000002</v>
          </cell>
        </row>
        <row r="70">
          <cell r="W70">
            <v>0</v>
          </cell>
        </row>
        <row r="71">
          <cell r="W71">
            <v>1370885.76</v>
          </cell>
        </row>
        <row r="73">
          <cell r="W73">
            <v>0</v>
          </cell>
        </row>
        <row r="74">
          <cell r="W74">
            <v>1086881.44</v>
          </cell>
        </row>
        <row r="75">
          <cell r="W75">
            <v>0</v>
          </cell>
        </row>
      </sheetData>
      <sheetData sheetId="10">
        <row r="31">
          <cell r="G31">
            <v>165352.18</v>
          </cell>
        </row>
        <row r="33">
          <cell r="G33">
            <v>231128.93</v>
          </cell>
        </row>
        <row r="35">
          <cell r="G35">
            <v>44454646.130000003</v>
          </cell>
        </row>
        <row r="37">
          <cell r="G37">
            <v>46047283.480000004</v>
          </cell>
        </row>
      </sheetData>
      <sheetData sheetId="11">
        <row r="62">
          <cell r="M62">
            <v>4701726.5299999993</v>
          </cell>
        </row>
        <row r="64">
          <cell r="M64">
            <v>14560395.27</v>
          </cell>
        </row>
        <row r="66">
          <cell r="M66">
            <v>116037.55</v>
          </cell>
        </row>
        <row r="68">
          <cell r="M68">
            <v>18213137.039999999</v>
          </cell>
        </row>
        <row r="70">
          <cell r="M70">
            <v>14669804.270000001</v>
          </cell>
        </row>
        <row r="72">
          <cell r="M72">
            <v>54287008.589999996</v>
          </cell>
        </row>
      </sheetData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New Patronato"/>
      <sheetName val="Patronato"/>
      <sheetName val="COMPRES"/>
      <sheetName val="BAL"/>
      <sheetName val="BALCOM"/>
      <sheetName val="rdo"/>
      <sheetName val="RDOACUM"/>
      <sheetName val="mesvsmes"/>
      <sheetName val="IYE"/>
      <sheetName val="CAJA"/>
      <sheetName val="CUSTODIA"/>
      <sheetName val="balan"/>
      <sheetName val="GRAFICO"/>
      <sheetName val="COMPARATIVO GLOBAL"/>
    </sheetNames>
    <sheetDataSet>
      <sheetData sheetId="0"/>
      <sheetData sheetId="1"/>
      <sheetData sheetId="2">
        <row r="9">
          <cell r="G9">
            <v>459619791</v>
          </cell>
        </row>
        <row r="10">
          <cell r="G10">
            <v>288196991</v>
          </cell>
        </row>
        <row r="15">
          <cell r="G15">
            <v>192348086.40000001</v>
          </cell>
        </row>
        <row r="16">
          <cell r="G16">
            <v>80962775.819999993</v>
          </cell>
        </row>
        <row r="17">
          <cell r="G17">
            <v>5305964</v>
          </cell>
        </row>
        <row r="22">
          <cell r="G22">
            <v>70644830.909999996</v>
          </cell>
        </row>
        <row r="23">
          <cell r="G23">
            <v>2953880.82</v>
          </cell>
        </row>
        <row r="24">
          <cell r="G24">
            <v>957646</v>
          </cell>
        </row>
        <row r="25">
          <cell r="G25">
            <v>2301074.1100000003</v>
          </cell>
        </row>
        <row r="26">
          <cell r="G26">
            <v>26476293.399999999</v>
          </cell>
        </row>
        <row r="27">
          <cell r="G27">
            <v>4948273.84</v>
          </cell>
        </row>
        <row r="28">
          <cell r="G28">
            <v>24212658.07</v>
          </cell>
        </row>
        <row r="29">
          <cell r="G29">
            <v>50575269.470000006</v>
          </cell>
        </row>
        <row r="34">
          <cell r="G34">
            <v>53799751.600000009</v>
          </cell>
        </row>
        <row r="39">
          <cell r="G39">
            <v>709626871.69999993</v>
          </cell>
        </row>
        <row r="40">
          <cell r="G40">
            <v>60744869.449999988</v>
          </cell>
        </row>
        <row r="41">
          <cell r="G41">
            <v>161723791.56</v>
          </cell>
        </row>
        <row r="42">
          <cell r="G42">
            <v>0</v>
          </cell>
        </row>
        <row r="43">
          <cell r="G43">
            <v>6199158.7200000007</v>
          </cell>
        </row>
        <row r="44">
          <cell r="G44">
            <v>33268250.470000006</v>
          </cell>
        </row>
        <row r="50">
          <cell r="G50">
            <v>41685234.059999995</v>
          </cell>
        </row>
        <row r="51">
          <cell r="G51">
            <v>28019815.009999998</v>
          </cell>
        </row>
        <row r="52">
          <cell r="G52">
            <v>4463414.37</v>
          </cell>
        </row>
        <row r="62">
          <cell r="F62">
            <v>17293418.679999985</v>
          </cell>
        </row>
        <row r="64">
          <cell r="F64">
            <v>616932.86999988556</v>
          </cell>
        </row>
        <row r="69">
          <cell r="G69">
            <v>226128.93</v>
          </cell>
        </row>
        <row r="70">
          <cell r="G70">
            <v>160352.18</v>
          </cell>
        </row>
        <row r="71">
          <cell r="G71">
            <v>43319404.910000011</v>
          </cell>
        </row>
        <row r="72">
          <cell r="G72">
            <v>53208197.660000004</v>
          </cell>
        </row>
        <row r="74">
          <cell r="F74">
            <v>16181167.739999998</v>
          </cell>
        </row>
        <row r="75">
          <cell r="F75">
            <v>11446131.439999999</v>
          </cell>
        </row>
        <row r="76">
          <cell r="F76">
            <v>116037.55</v>
          </cell>
        </row>
        <row r="77">
          <cell r="F77">
            <v>5116115.45</v>
          </cell>
        </row>
        <row r="78">
          <cell r="F78">
            <v>8050229.6799999997</v>
          </cell>
        </row>
        <row r="79">
          <cell r="F79">
            <v>17317665.399999999</v>
          </cell>
        </row>
      </sheetData>
      <sheetData sheetId="3">
        <row r="17">
          <cell r="L17">
            <v>81114402.842792079</v>
          </cell>
        </row>
      </sheetData>
      <sheetData sheetId="4"/>
      <sheetData sheetId="5">
        <row r="13">
          <cell r="E13">
            <v>386481.11</v>
          </cell>
        </row>
      </sheetData>
      <sheetData sheetId="6">
        <row r="6">
          <cell r="E6">
            <v>53928000</v>
          </cell>
        </row>
      </sheetData>
      <sheetData sheetId="7">
        <row r="6">
          <cell r="V6">
            <v>459619791</v>
          </cell>
        </row>
      </sheetData>
      <sheetData sheetId="8">
        <row r="7">
          <cell r="J7">
            <v>459619791</v>
          </cell>
        </row>
      </sheetData>
      <sheetData sheetId="9">
        <row r="6">
          <cell r="U6">
            <v>53928000</v>
          </cell>
        </row>
      </sheetData>
      <sheetData sheetId="10">
        <row r="27">
          <cell r="B27">
            <v>386481.11</v>
          </cell>
        </row>
      </sheetData>
      <sheetData sheetId="11">
        <row r="62">
          <cell r="M62">
            <v>5116115.45</v>
          </cell>
        </row>
      </sheetData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New Patronato"/>
      <sheetName val="Patronato"/>
      <sheetName val="COMPRES"/>
      <sheetName val="BAL"/>
      <sheetName val="BALCOM"/>
      <sheetName val="rdo"/>
      <sheetName val="RDOACUM"/>
      <sheetName val="mesvsmes"/>
      <sheetName val="IYE"/>
      <sheetName val="CAJA"/>
      <sheetName val="CUSTODIA"/>
      <sheetName val="balan"/>
      <sheetName val="GRAFICO"/>
      <sheetName val="COMPARATIVO GLOBAL"/>
    </sheetNames>
    <sheetDataSet>
      <sheetData sheetId="0" refreshError="1"/>
      <sheetData sheetId="1" refreshError="1"/>
      <sheetData sheetId="2">
        <row r="9">
          <cell r="H9">
            <v>627817199</v>
          </cell>
        </row>
        <row r="10">
          <cell r="H10">
            <v>399656089</v>
          </cell>
        </row>
        <row r="15">
          <cell r="H15">
            <v>196936442.40000001</v>
          </cell>
        </row>
        <row r="16">
          <cell r="H16">
            <v>88883858.839999989</v>
          </cell>
        </row>
        <row r="17">
          <cell r="H17">
            <v>7570976</v>
          </cell>
        </row>
        <row r="22">
          <cell r="H22">
            <v>81664635.079999998</v>
          </cell>
        </row>
        <row r="23">
          <cell r="H23">
            <v>3716575.94</v>
          </cell>
        </row>
        <row r="24">
          <cell r="H24">
            <v>1043727</v>
          </cell>
        </row>
        <row r="25">
          <cell r="H25">
            <v>2937580.4200000004</v>
          </cell>
        </row>
        <row r="26">
          <cell r="H26">
            <v>44723885.32</v>
          </cell>
        </row>
        <row r="27">
          <cell r="H27">
            <v>6157232.9299999997</v>
          </cell>
        </row>
        <row r="28">
          <cell r="H28">
            <v>25496633.09</v>
          </cell>
        </row>
        <row r="29">
          <cell r="H29">
            <v>63883887.74000001</v>
          </cell>
        </row>
        <row r="34">
          <cell r="H34">
            <v>57489203.960000008</v>
          </cell>
        </row>
        <row r="39">
          <cell r="H39">
            <v>914884688.70999992</v>
          </cell>
        </row>
        <row r="40">
          <cell r="H40">
            <v>77496589.459999993</v>
          </cell>
        </row>
        <row r="41">
          <cell r="H41">
            <v>209507130.55000001</v>
          </cell>
        </row>
        <row r="42">
          <cell r="H42">
            <v>0</v>
          </cell>
        </row>
        <row r="43">
          <cell r="H43">
            <v>7570472.5</v>
          </cell>
        </row>
        <row r="44">
          <cell r="H44">
            <v>43071111.330000006</v>
          </cell>
        </row>
        <row r="50">
          <cell r="H50">
            <v>47131486.499999993</v>
          </cell>
        </row>
        <row r="51">
          <cell r="H51">
            <v>36962250.939999998</v>
          </cell>
        </row>
        <row r="52">
          <cell r="H52">
            <v>4499557.07</v>
          </cell>
        </row>
        <row r="69">
          <cell r="H69">
            <v>231128.93</v>
          </cell>
        </row>
        <row r="70">
          <cell r="H70">
            <v>153950.79999999999</v>
          </cell>
        </row>
        <row r="71">
          <cell r="H71">
            <v>90910324.269999996</v>
          </cell>
        </row>
        <row r="72">
          <cell r="H72">
            <v>35727210.07</v>
          </cell>
        </row>
        <row r="74">
          <cell r="G74">
            <v>10822280</v>
          </cell>
        </row>
        <row r="75">
          <cell r="G75">
            <v>16376619.92</v>
          </cell>
        </row>
        <row r="76">
          <cell r="G76">
            <v>116037.55</v>
          </cell>
        </row>
        <row r="77">
          <cell r="G77">
            <v>6385663.0300000003</v>
          </cell>
        </row>
        <row r="78">
          <cell r="G78">
            <v>54476941.390000001</v>
          </cell>
        </row>
        <row r="79">
          <cell r="G79">
            <v>14720611.369999999</v>
          </cell>
        </row>
      </sheetData>
      <sheetData sheetId="3">
        <row r="17">
          <cell r="L17">
            <v>88657796.675907165</v>
          </cell>
        </row>
      </sheetData>
      <sheetData sheetId="4" refreshError="1"/>
      <sheetData sheetId="5">
        <row r="13">
          <cell r="E13">
            <v>385079.73</v>
          </cell>
        </row>
        <row r="40">
          <cell r="N40">
            <v>0</v>
          </cell>
        </row>
        <row r="41">
          <cell r="N41">
            <v>0.21000003814697266</v>
          </cell>
        </row>
      </sheetData>
      <sheetData sheetId="6">
        <row r="6">
          <cell r="E6">
            <v>95825408</v>
          </cell>
        </row>
      </sheetData>
      <sheetData sheetId="7">
        <row r="6">
          <cell r="Z6">
            <v>627817199</v>
          </cell>
        </row>
      </sheetData>
      <sheetData sheetId="8" refreshError="1"/>
      <sheetData sheetId="9">
        <row r="6">
          <cell r="Y6">
            <v>95825408</v>
          </cell>
        </row>
        <row r="7">
          <cell r="Y7">
            <v>82639399</v>
          </cell>
        </row>
        <row r="8">
          <cell r="Y8">
            <v>0</v>
          </cell>
        </row>
        <row r="14">
          <cell r="Y14">
            <v>7727446.9900000002</v>
          </cell>
        </row>
        <row r="15">
          <cell r="Y15">
            <v>3080288.35</v>
          </cell>
        </row>
        <row r="16">
          <cell r="Y16">
            <v>2083446.75</v>
          </cell>
        </row>
        <row r="17">
          <cell r="Y17">
            <v>4576443.16</v>
          </cell>
        </row>
        <row r="18">
          <cell r="Y18">
            <v>1236050</v>
          </cell>
        </row>
        <row r="20">
          <cell r="Y20">
            <v>685389.56</v>
          </cell>
        </row>
        <row r="21">
          <cell r="Y21">
            <v>423695.94</v>
          </cell>
        </row>
        <row r="22">
          <cell r="Y22">
            <v>920429.91</v>
          </cell>
        </row>
        <row r="28">
          <cell r="Y28">
            <v>1648476.01</v>
          </cell>
        </row>
        <row r="34">
          <cell r="Y34">
            <v>119780918.27</v>
          </cell>
        </row>
        <row r="35">
          <cell r="Y35">
            <v>19614939.41</v>
          </cell>
        </row>
        <row r="36">
          <cell r="Y36">
            <v>8303613.4000000004</v>
          </cell>
        </row>
        <row r="37">
          <cell r="Y37">
            <v>3787906.03</v>
          </cell>
        </row>
        <row r="38">
          <cell r="Y38">
            <v>2998091.59</v>
          </cell>
        </row>
        <row r="48">
          <cell r="Y48">
            <v>719104.01</v>
          </cell>
        </row>
        <row r="51">
          <cell r="Y51">
            <v>0</v>
          </cell>
        </row>
        <row r="52">
          <cell r="Y52">
            <v>3456.7</v>
          </cell>
        </row>
        <row r="53">
          <cell r="Y53">
            <v>0</v>
          </cell>
        </row>
        <row r="54">
          <cell r="Y54">
            <v>1044929.2</v>
          </cell>
        </row>
        <row r="55">
          <cell r="Y55">
            <v>0</v>
          </cell>
        </row>
        <row r="56">
          <cell r="Y56">
            <v>952464.04</v>
          </cell>
        </row>
        <row r="57">
          <cell r="Y57">
            <v>513996.98</v>
          </cell>
        </row>
        <row r="58">
          <cell r="Y58">
            <v>479792</v>
          </cell>
        </row>
        <row r="59">
          <cell r="Y59">
            <v>492565.15</v>
          </cell>
        </row>
        <row r="60">
          <cell r="Y60">
            <v>0</v>
          </cell>
        </row>
        <row r="61">
          <cell r="Y61">
            <v>0</v>
          </cell>
        </row>
        <row r="66">
          <cell r="Y66">
            <v>232400</v>
          </cell>
        </row>
        <row r="67">
          <cell r="Y67">
            <v>1802401.91</v>
          </cell>
        </row>
        <row r="68">
          <cell r="Y68">
            <v>2196315.79</v>
          </cell>
        </row>
        <row r="69">
          <cell r="Y69">
            <v>482161.14</v>
          </cell>
        </row>
        <row r="70">
          <cell r="Y70">
            <v>0</v>
          </cell>
        </row>
        <row r="71">
          <cell r="Y71">
            <v>932148.66</v>
          </cell>
        </row>
        <row r="73">
          <cell r="Y73">
            <v>0</v>
          </cell>
        </row>
        <row r="74">
          <cell r="Y74">
            <v>1486113.15</v>
          </cell>
        </row>
        <row r="75">
          <cell r="Y75">
            <v>0</v>
          </cell>
        </row>
      </sheetData>
      <sheetData sheetId="10">
        <row r="31">
          <cell r="G31">
            <v>153950.79999999999</v>
          </cell>
        </row>
        <row r="33">
          <cell r="G33">
            <v>231128.93</v>
          </cell>
        </row>
        <row r="35">
          <cell r="G35">
            <v>35727210.07</v>
          </cell>
        </row>
        <row r="37">
          <cell r="G37">
            <v>90910324.269999996</v>
          </cell>
        </row>
      </sheetData>
      <sheetData sheetId="11">
        <row r="62">
          <cell r="M62">
            <v>6385663.0300000003</v>
          </cell>
        </row>
        <row r="64">
          <cell r="M64">
            <v>10822280</v>
          </cell>
        </row>
        <row r="66">
          <cell r="M66">
            <v>116037.55</v>
          </cell>
        </row>
        <row r="68">
          <cell r="M68">
            <v>16376619.92</v>
          </cell>
        </row>
        <row r="70">
          <cell r="M70">
            <v>14720611.369999999</v>
          </cell>
        </row>
        <row r="72">
          <cell r="M72">
            <v>54476941.390000001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New Patronato"/>
      <sheetName val="Patronato"/>
      <sheetName val="COMPRES"/>
      <sheetName val="BAL"/>
      <sheetName val="BALCOM"/>
      <sheetName val="rdo"/>
      <sheetName val="RDOACUM"/>
      <sheetName val="mesvsmes"/>
      <sheetName val="IYE"/>
      <sheetName val="CAJA"/>
      <sheetName val="CUSTODIA"/>
      <sheetName val="balan"/>
      <sheetName val="GRAFICO"/>
      <sheetName val="COMPARATIVO GLOBAL"/>
      <sheetName val="Bajas dic"/>
      <sheetName val="Balance General Dic 2011"/>
    </sheetNames>
    <sheetDataSet>
      <sheetData sheetId="0"/>
      <sheetData sheetId="1"/>
      <sheetData sheetId="2"/>
      <sheetData sheetId="3"/>
      <sheetData sheetId="4"/>
      <sheetData sheetId="5">
        <row r="40">
          <cell r="N40">
            <v>0</v>
          </cell>
        </row>
        <row r="41">
          <cell r="N41">
            <v>0.21000003814697266</v>
          </cell>
        </row>
      </sheetData>
      <sheetData sheetId="6">
        <row r="6">
          <cell r="E6">
            <v>64895958</v>
          </cell>
        </row>
      </sheetData>
      <sheetData sheetId="7">
        <row r="6">
          <cell r="AB6">
            <v>692713157</v>
          </cell>
        </row>
      </sheetData>
      <sheetData sheetId="8"/>
      <sheetData sheetId="9">
        <row r="6">
          <cell r="AA6">
            <v>64895958</v>
          </cell>
        </row>
        <row r="7">
          <cell r="AA7">
            <v>36982135</v>
          </cell>
        </row>
        <row r="8">
          <cell r="AA8">
            <v>0</v>
          </cell>
        </row>
        <row r="14">
          <cell r="AA14">
            <v>9197859.1999999993</v>
          </cell>
        </row>
        <row r="15">
          <cell r="AA15">
            <v>5671907.6699999999</v>
          </cell>
        </row>
        <row r="16">
          <cell r="AA16">
            <v>2454669.9900000002</v>
          </cell>
        </row>
        <row r="17">
          <cell r="AA17">
            <v>4536826.1899999995</v>
          </cell>
        </row>
        <row r="18">
          <cell r="AA18">
            <v>1109546</v>
          </cell>
        </row>
        <row r="20">
          <cell r="AA20">
            <v>667362.51</v>
          </cell>
        </row>
        <row r="21">
          <cell r="AA21">
            <v>303915.64</v>
          </cell>
        </row>
        <row r="22">
          <cell r="AA22">
            <v>1553550.97</v>
          </cell>
        </row>
        <row r="28">
          <cell r="AA28">
            <v>2558582.06</v>
          </cell>
        </row>
        <row r="34">
          <cell r="AA34">
            <v>114579216.26000001</v>
          </cell>
        </row>
        <row r="35">
          <cell r="AA35">
            <v>28509909.600000001</v>
          </cell>
        </row>
        <row r="36">
          <cell r="AA36">
            <v>4511641.9800000004</v>
          </cell>
        </row>
        <row r="37">
          <cell r="AA37">
            <v>4346790.33</v>
          </cell>
        </row>
        <row r="38">
          <cell r="AA38">
            <v>5509811.1200000001</v>
          </cell>
        </row>
        <row r="48">
          <cell r="AA48">
            <v>1042653.0200000001</v>
          </cell>
        </row>
        <row r="51">
          <cell r="AA51">
            <v>0</v>
          </cell>
        </row>
        <row r="52">
          <cell r="AA52">
            <v>1200</v>
          </cell>
        </row>
        <row r="53">
          <cell r="AA53">
            <v>0</v>
          </cell>
        </row>
        <row r="54">
          <cell r="AA54">
            <v>4067136.8900000006</v>
          </cell>
        </row>
        <row r="55">
          <cell r="AA55">
            <v>8906.4</v>
          </cell>
        </row>
        <row r="56">
          <cell r="AA56">
            <v>641521.59</v>
          </cell>
        </row>
        <row r="57">
          <cell r="AA57">
            <v>2258698.27</v>
          </cell>
        </row>
        <row r="58">
          <cell r="AA58">
            <v>0</v>
          </cell>
        </row>
        <row r="59">
          <cell r="AA59">
            <v>18947.64</v>
          </cell>
        </row>
        <row r="60">
          <cell r="AA60">
            <v>127379.89999999991</v>
          </cell>
        </row>
        <row r="61">
          <cell r="AA61">
            <v>0</v>
          </cell>
        </row>
        <row r="66">
          <cell r="AA66">
            <v>1112590</v>
          </cell>
        </row>
        <row r="67">
          <cell r="AA67">
            <v>2499328.94</v>
          </cell>
        </row>
        <row r="68">
          <cell r="AA68">
            <v>943828.12</v>
          </cell>
        </row>
        <row r="69">
          <cell r="AA69">
            <v>447929.95</v>
          </cell>
        </row>
        <row r="70">
          <cell r="AA70">
            <v>0</v>
          </cell>
        </row>
        <row r="71">
          <cell r="AA71">
            <v>524935.82999999996</v>
          </cell>
        </row>
        <row r="73">
          <cell r="AA73">
            <v>956444.66</v>
          </cell>
        </row>
        <row r="74">
          <cell r="AA74">
            <v>1345964.74</v>
          </cell>
        </row>
        <row r="75">
          <cell r="AA75">
            <v>0</v>
          </cell>
        </row>
      </sheetData>
      <sheetData sheetId="10">
        <row r="31">
          <cell r="G31">
            <v>153950.79999999999</v>
          </cell>
        </row>
        <row r="33">
          <cell r="G33">
            <v>230128.93</v>
          </cell>
        </row>
        <row r="35">
          <cell r="G35">
            <v>22710369.16</v>
          </cell>
        </row>
        <row r="37">
          <cell r="G37">
            <v>62824528.319999993</v>
          </cell>
        </row>
      </sheetData>
      <sheetData sheetId="11">
        <row r="64">
          <cell r="M64">
            <v>11018683.73</v>
          </cell>
        </row>
        <row r="66">
          <cell r="M66">
            <v>7164714.5199999996</v>
          </cell>
        </row>
        <row r="68">
          <cell r="M68">
            <v>116037.55</v>
          </cell>
        </row>
        <row r="70">
          <cell r="M70">
            <v>15588022.32</v>
          </cell>
        </row>
        <row r="72">
          <cell r="M72">
            <v>13946493.949999999</v>
          </cell>
        </row>
        <row r="74">
          <cell r="M74">
            <v>53710476.670000002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89"/>
  <sheetViews>
    <sheetView topLeftCell="B73" zoomScale="90" zoomScaleNormal="90" workbookViewId="0">
      <selection activeCell="C105" sqref="C105"/>
    </sheetView>
  </sheetViews>
  <sheetFormatPr baseColWidth="10" defaultRowHeight="15" x14ac:dyDescent="0.2"/>
  <cols>
    <col min="1" max="1" width="15" style="73" customWidth="1"/>
    <col min="2" max="2" width="5.140625" style="73" customWidth="1"/>
    <col min="3" max="3" width="33.28515625" style="73" customWidth="1"/>
    <col min="4" max="4" width="23.5703125" style="74" customWidth="1"/>
    <col min="5" max="5" width="20" style="74" customWidth="1"/>
    <col min="6" max="6" width="18.7109375" style="74" customWidth="1"/>
    <col min="7" max="7" width="19.140625" style="74" customWidth="1"/>
    <col min="8" max="8" width="27.7109375" style="73" customWidth="1"/>
    <col min="9" max="9" width="14.5703125" style="75" bestFit="1" customWidth="1"/>
    <col min="10" max="16384" width="11.42578125" style="76"/>
  </cols>
  <sheetData>
    <row r="1" spans="1:9" ht="15.75" thickBot="1" x14ac:dyDescent="0.25"/>
    <row r="2" spans="1:9" ht="20.25" x14ac:dyDescent="0.3">
      <c r="A2" s="77"/>
      <c r="B2" s="78"/>
      <c r="C2" s="78"/>
      <c r="D2" s="79"/>
      <c r="E2" s="80"/>
      <c r="F2" s="81"/>
      <c r="G2" s="79"/>
      <c r="H2" s="82"/>
    </row>
    <row r="3" spans="1:9" ht="21.75" x14ac:dyDescent="0.3">
      <c r="A3" s="83"/>
      <c r="B3" s="84"/>
      <c r="C3" s="84"/>
      <c r="D3" s="85"/>
      <c r="E3" s="86" t="s">
        <v>0</v>
      </c>
      <c r="F3" s="87"/>
      <c r="G3" s="85"/>
      <c r="H3" s="88"/>
    </row>
    <row r="4" spans="1:9" ht="21.75" x14ac:dyDescent="0.3">
      <c r="A4" s="83"/>
      <c r="B4" s="84"/>
      <c r="C4" s="84"/>
      <c r="D4" s="85"/>
      <c r="E4" s="86" t="s">
        <v>1</v>
      </c>
      <c r="F4" s="87"/>
      <c r="G4" s="85"/>
      <c r="H4" s="88"/>
    </row>
    <row r="5" spans="1:9" ht="21.75" x14ac:dyDescent="0.3">
      <c r="A5" s="83"/>
      <c r="B5" s="84"/>
      <c r="C5" s="84"/>
      <c r="D5" s="85"/>
      <c r="E5" s="86" t="s">
        <v>70</v>
      </c>
      <c r="F5" s="87"/>
      <c r="G5" s="85"/>
      <c r="H5" s="88"/>
    </row>
    <row r="6" spans="1:9" ht="15.75" thickBot="1" x14ac:dyDescent="0.25">
      <c r="A6" s="83"/>
      <c r="B6" s="84"/>
      <c r="C6" s="84"/>
      <c r="D6" s="85"/>
      <c r="E6" s="85"/>
      <c r="F6" s="85"/>
      <c r="G6" s="85"/>
      <c r="H6" s="88"/>
    </row>
    <row r="7" spans="1:9" ht="15.75" x14ac:dyDescent="0.25">
      <c r="A7" s="89"/>
      <c r="B7" s="90" t="s">
        <v>3</v>
      </c>
      <c r="C7" s="90"/>
      <c r="D7" s="91"/>
      <c r="E7" s="81" t="s">
        <v>4</v>
      </c>
      <c r="F7" s="81"/>
      <c r="G7" s="81" t="s">
        <v>5</v>
      </c>
      <c r="H7" s="92"/>
      <c r="I7" s="93"/>
    </row>
    <row r="8" spans="1:9" x14ac:dyDescent="0.2">
      <c r="A8" s="83"/>
      <c r="B8" s="84"/>
      <c r="C8" s="84"/>
      <c r="D8" s="85"/>
      <c r="E8" s="85"/>
      <c r="F8" s="85"/>
      <c r="G8" s="85"/>
      <c r="H8" s="88"/>
    </row>
    <row r="9" spans="1:9" x14ac:dyDescent="0.2">
      <c r="A9" s="94"/>
      <c r="B9" s="95" t="s">
        <v>6</v>
      </c>
      <c r="C9" s="84"/>
      <c r="D9" s="85"/>
      <c r="E9" s="85">
        <f>+[1]IYE!W6</f>
        <v>72372000</v>
      </c>
      <c r="F9" s="96"/>
      <c r="G9" s="96">
        <f>+E9+[2]Patronato!$G$9</f>
        <v>531991791</v>
      </c>
      <c r="H9" s="88"/>
    </row>
    <row r="10" spans="1:9" x14ac:dyDescent="0.2">
      <c r="A10" s="94"/>
      <c r="B10" s="95" t="s">
        <v>7</v>
      </c>
      <c r="C10" s="84"/>
      <c r="D10" s="85"/>
      <c r="E10" s="97">
        <f>+[1]IYE!W7+[1]IYE!W8</f>
        <v>28819699</v>
      </c>
      <c r="F10" s="96"/>
      <c r="G10" s="98">
        <f>+E10+[2]Patronato!$G$10</f>
        <v>317016690</v>
      </c>
      <c r="H10" s="88"/>
    </row>
    <row r="11" spans="1:9" ht="15.75" x14ac:dyDescent="0.25">
      <c r="A11" s="99"/>
      <c r="B11" s="100" t="s">
        <v>8</v>
      </c>
      <c r="C11" s="84"/>
      <c r="D11" s="85"/>
      <c r="E11" s="85">
        <f>SUM(E9:E10)</f>
        <v>101191699</v>
      </c>
      <c r="F11" s="96"/>
      <c r="G11" s="96">
        <f>SUM(G9:G10)</f>
        <v>849008481</v>
      </c>
      <c r="H11" s="88"/>
    </row>
    <row r="12" spans="1:9" x14ac:dyDescent="0.2">
      <c r="A12" s="83"/>
      <c r="B12" s="84"/>
      <c r="C12" s="84"/>
      <c r="D12" s="85"/>
      <c r="E12" s="85"/>
      <c r="F12" s="96"/>
      <c r="G12" s="96"/>
      <c r="H12" s="88"/>
    </row>
    <row r="13" spans="1:9" ht="15.75" x14ac:dyDescent="0.25">
      <c r="A13" s="99"/>
      <c r="B13" s="100" t="s">
        <v>9</v>
      </c>
      <c r="C13" s="84"/>
      <c r="D13" s="85"/>
      <c r="E13" s="85"/>
      <c r="F13" s="96"/>
      <c r="G13" s="96"/>
      <c r="H13" s="88"/>
    </row>
    <row r="14" spans="1:9" x14ac:dyDescent="0.2">
      <c r="A14" s="83"/>
      <c r="B14" s="84"/>
      <c r="C14" s="84"/>
      <c r="D14" s="85"/>
      <c r="E14" s="85"/>
      <c r="F14" s="96"/>
      <c r="G14" s="96"/>
      <c r="H14" s="88"/>
    </row>
    <row r="15" spans="1:9" x14ac:dyDescent="0.2">
      <c r="A15" s="94"/>
      <c r="B15" s="95" t="s">
        <v>10</v>
      </c>
      <c r="C15" s="84"/>
      <c r="D15" s="85"/>
      <c r="E15" s="85">
        <f>+[1]IYE!W16</f>
        <v>2504909.25</v>
      </c>
      <c r="F15" s="96"/>
      <c r="G15" s="96">
        <f>+E15+[2]Patronato!$G$15</f>
        <v>194852995.65000001</v>
      </c>
      <c r="H15" s="88"/>
    </row>
    <row r="16" spans="1:9" x14ac:dyDescent="0.2">
      <c r="A16" s="94"/>
      <c r="B16" s="95" t="s">
        <v>11</v>
      </c>
      <c r="C16" s="84"/>
      <c r="D16" s="85"/>
      <c r="E16" s="85">
        <f>+[1]IYE!W15</f>
        <v>4840794.67</v>
      </c>
      <c r="F16" s="96"/>
      <c r="G16" s="96">
        <f>+E16+[2]Patronato!$G$16</f>
        <v>85803570.489999995</v>
      </c>
      <c r="H16" s="88"/>
    </row>
    <row r="17" spans="1:8" x14ac:dyDescent="0.2">
      <c r="A17" s="94"/>
      <c r="B17" s="95" t="s">
        <v>12</v>
      </c>
      <c r="C17" s="84"/>
      <c r="D17" s="85"/>
      <c r="E17" s="97">
        <f>+[1]IYE!W18</f>
        <v>1028962</v>
      </c>
      <c r="F17" s="96"/>
      <c r="G17" s="98">
        <f>+E17+[2]Patronato!$G$17</f>
        <v>6334926</v>
      </c>
      <c r="H17" s="88"/>
    </row>
    <row r="18" spans="1:8" ht="15.75" x14ac:dyDescent="0.25">
      <c r="A18" s="99"/>
      <c r="B18" s="100" t="s">
        <v>13</v>
      </c>
      <c r="C18" s="84"/>
      <c r="D18" s="85"/>
      <c r="E18" s="85">
        <f>SUM(E15:E17)</f>
        <v>8374665.9199999999</v>
      </c>
      <c r="F18" s="96"/>
      <c r="G18" s="96">
        <f>SUM(G15:G17)</f>
        <v>286991492.13999999</v>
      </c>
      <c r="H18" s="88"/>
    </row>
    <row r="19" spans="1:8" x14ac:dyDescent="0.2">
      <c r="A19" s="83"/>
      <c r="B19" s="84"/>
      <c r="C19" s="84"/>
      <c r="D19" s="85"/>
      <c r="E19" s="85"/>
      <c r="F19" s="96"/>
      <c r="G19" s="96"/>
      <c r="H19" s="88"/>
    </row>
    <row r="20" spans="1:8" ht="15.75" x14ac:dyDescent="0.25">
      <c r="A20" s="99"/>
      <c r="B20" s="100" t="s">
        <v>14</v>
      </c>
      <c r="C20" s="84"/>
      <c r="D20" s="85"/>
      <c r="E20" s="85"/>
      <c r="F20" s="96"/>
      <c r="G20" s="96"/>
      <c r="H20" s="88"/>
    </row>
    <row r="21" spans="1:8" x14ac:dyDescent="0.2">
      <c r="A21" s="83"/>
      <c r="B21" s="84"/>
      <c r="C21" s="84"/>
      <c r="D21" s="85"/>
      <c r="E21" s="85"/>
      <c r="F21" s="96"/>
      <c r="G21" s="96"/>
      <c r="H21" s="88"/>
    </row>
    <row r="22" spans="1:8" x14ac:dyDescent="0.2">
      <c r="A22" s="94"/>
      <c r="B22" s="95" t="s">
        <v>15</v>
      </c>
      <c r="C22" s="84"/>
      <c r="D22" s="85"/>
      <c r="E22" s="85">
        <f>+[1]IYE!W17</f>
        <v>6443361.0099999998</v>
      </c>
      <c r="F22" s="96"/>
      <c r="G22" s="96">
        <f>+E22+[2]Patronato!$G$22</f>
        <v>77088191.920000002</v>
      </c>
      <c r="H22" s="88"/>
    </row>
    <row r="23" spans="1:8" x14ac:dyDescent="0.2">
      <c r="A23" s="94"/>
      <c r="B23" s="95" t="s">
        <v>16</v>
      </c>
      <c r="C23" s="84"/>
      <c r="D23" s="85"/>
      <c r="E23" s="85">
        <f>+[1]IYE!W21</f>
        <v>338999.18</v>
      </c>
      <c r="F23" s="96"/>
      <c r="G23" s="96">
        <f>+E23+[2]Patronato!$G$23</f>
        <v>3292880</v>
      </c>
      <c r="H23" s="88"/>
    </row>
    <row r="24" spans="1:8" x14ac:dyDescent="0.2">
      <c r="A24" s="94"/>
      <c r="B24" s="95" t="s">
        <v>17</v>
      </c>
      <c r="C24" s="84"/>
      <c r="D24" s="85"/>
      <c r="E24" s="85">
        <v>64836</v>
      </c>
      <c r="F24" s="96"/>
      <c r="G24" s="96">
        <f>+E24+[2]Patronato!$G$24</f>
        <v>1022482</v>
      </c>
      <c r="H24" s="88"/>
    </row>
    <row r="25" spans="1:8" x14ac:dyDescent="0.2">
      <c r="A25" s="94"/>
      <c r="B25" s="95" t="s">
        <v>18</v>
      </c>
      <c r="C25" s="84"/>
      <c r="D25" s="85"/>
      <c r="E25" s="85">
        <v>357906.85</v>
      </c>
      <c r="F25" s="96"/>
      <c r="G25" s="96">
        <f>+E25+[2]Patronato!$G$25</f>
        <v>2658980.9600000004</v>
      </c>
      <c r="H25" s="88"/>
    </row>
    <row r="26" spans="1:8" x14ac:dyDescent="0.2">
      <c r="A26" s="94"/>
      <c r="B26" s="95" t="s">
        <v>19</v>
      </c>
      <c r="C26" s="84"/>
      <c r="D26" s="85"/>
      <c r="E26" s="85">
        <v>5880212.2999999998</v>
      </c>
      <c r="F26" s="96"/>
      <c r="G26" s="96">
        <f>+E26+[2]Patronato!$G$26</f>
        <v>32356505.699999999</v>
      </c>
      <c r="H26" s="88"/>
    </row>
    <row r="27" spans="1:8" x14ac:dyDescent="0.2">
      <c r="A27" s="94"/>
      <c r="B27" s="95" t="s">
        <v>20</v>
      </c>
      <c r="C27" s="84"/>
      <c r="D27" s="85"/>
      <c r="E27" s="85">
        <f>+[1]IYE!W22</f>
        <v>288529.18</v>
      </c>
      <c r="F27" s="96"/>
      <c r="G27" s="96">
        <f>+E27+[2]Patronato!$G$27</f>
        <v>5236803.0199999996</v>
      </c>
      <c r="H27" s="88"/>
    </row>
    <row r="28" spans="1:8" x14ac:dyDescent="0.2">
      <c r="A28" s="94"/>
      <c r="B28" s="95" t="s">
        <v>21</v>
      </c>
      <c r="C28" s="84"/>
      <c r="D28" s="85"/>
      <c r="E28" s="85">
        <f>+[1]IYE!W20</f>
        <v>598585.46</v>
      </c>
      <c r="F28" s="96"/>
      <c r="G28" s="96">
        <f>+E28+[2]Patronato!$G$28</f>
        <v>24811243.530000001</v>
      </c>
      <c r="H28" s="88"/>
    </row>
    <row r="29" spans="1:8" x14ac:dyDescent="0.2">
      <c r="A29" s="94"/>
      <c r="B29" s="95" t="s">
        <v>22</v>
      </c>
      <c r="C29" s="84"/>
      <c r="D29" s="85"/>
      <c r="E29" s="97">
        <f>+[1]IYE!W14</f>
        <v>5581171.2799999993</v>
      </c>
      <c r="F29" s="96"/>
      <c r="G29" s="96">
        <f>+E29+[2]Patronato!$G$29</f>
        <v>56156440.750000007</v>
      </c>
      <c r="H29" s="88"/>
    </row>
    <row r="30" spans="1:8" ht="15.75" x14ac:dyDescent="0.25">
      <c r="A30" s="99"/>
      <c r="B30" s="100" t="s">
        <v>23</v>
      </c>
      <c r="C30" s="84"/>
      <c r="D30" s="85"/>
      <c r="E30" s="101">
        <f>SUM(E22:E29)</f>
        <v>19553601.259999998</v>
      </c>
      <c r="F30" s="96"/>
      <c r="G30" s="102">
        <f>SUM(G22:G29)</f>
        <v>202623527.88</v>
      </c>
      <c r="H30" s="88"/>
    </row>
    <row r="31" spans="1:8" x14ac:dyDescent="0.2">
      <c r="A31" s="83"/>
      <c r="B31" s="84"/>
      <c r="C31" s="84"/>
      <c r="D31" s="85"/>
      <c r="E31" s="85"/>
      <c r="F31" s="96"/>
      <c r="G31" s="96"/>
      <c r="H31" s="88"/>
    </row>
    <row r="32" spans="1:8" ht="15.75" x14ac:dyDescent="0.25">
      <c r="A32" s="83"/>
      <c r="B32" s="84"/>
      <c r="C32" s="100" t="s">
        <v>24</v>
      </c>
      <c r="D32" s="85"/>
      <c r="E32" s="85">
        <f>+E11+E18+E30</f>
        <v>129119966.18000001</v>
      </c>
      <c r="F32" s="96"/>
      <c r="G32" s="96">
        <f>+G11+G18+G30</f>
        <v>1338623501.02</v>
      </c>
      <c r="H32" s="88"/>
    </row>
    <row r="33" spans="1:8" x14ac:dyDescent="0.2">
      <c r="A33" s="83"/>
      <c r="B33" s="84"/>
      <c r="C33" s="84"/>
      <c r="D33" s="85"/>
      <c r="E33" s="85"/>
      <c r="F33" s="96"/>
      <c r="G33" s="96"/>
      <c r="H33" s="88"/>
    </row>
    <row r="34" spans="1:8" ht="15.75" x14ac:dyDescent="0.25">
      <c r="A34" s="83"/>
      <c r="B34" s="84"/>
      <c r="C34" s="100" t="s">
        <v>25</v>
      </c>
      <c r="D34" s="85"/>
      <c r="E34" s="97">
        <f>+[1]IYE!W28</f>
        <v>2040976.35</v>
      </c>
      <c r="F34" s="96"/>
      <c r="G34" s="98">
        <f>+E34+[2]Patronato!$G$34</f>
        <v>55840727.95000001</v>
      </c>
      <c r="H34" s="88"/>
    </row>
    <row r="35" spans="1:8" x14ac:dyDescent="0.2">
      <c r="A35" s="83"/>
      <c r="B35" s="84"/>
      <c r="C35" s="84"/>
      <c r="D35" s="85"/>
      <c r="E35" s="85"/>
      <c r="F35" s="96"/>
      <c r="G35" s="96"/>
      <c r="H35" s="88"/>
    </row>
    <row r="36" spans="1:8" ht="15.75" x14ac:dyDescent="0.25">
      <c r="A36" s="83"/>
      <c r="B36" s="84"/>
      <c r="C36" s="100" t="s">
        <v>26</v>
      </c>
      <c r="D36" s="85"/>
      <c r="E36" s="85">
        <f>+E32-E34</f>
        <v>127078989.83000001</v>
      </c>
      <c r="F36" s="96"/>
      <c r="G36" s="96">
        <f>+G32-G34</f>
        <v>1282782773.0699999</v>
      </c>
      <c r="H36" s="88"/>
    </row>
    <row r="37" spans="1:8" x14ac:dyDescent="0.2">
      <c r="A37" s="83"/>
      <c r="B37" s="84"/>
      <c r="C37" s="84"/>
      <c r="D37" s="85"/>
      <c r="E37" s="85"/>
      <c r="F37" s="96"/>
      <c r="G37" s="96"/>
      <c r="H37" s="88"/>
    </row>
    <row r="38" spans="1:8" ht="15.75" x14ac:dyDescent="0.25">
      <c r="A38" s="99"/>
      <c r="B38" s="100" t="s">
        <v>27</v>
      </c>
      <c r="C38" s="84"/>
      <c r="D38" s="85"/>
      <c r="E38" s="85"/>
      <c r="F38" s="96"/>
      <c r="G38" s="96"/>
      <c r="H38" s="88"/>
    </row>
    <row r="39" spans="1:8" x14ac:dyDescent="0.2">
      <c r="A39" s="94"/>
      <c r="B39" s="95" t="s">
        <v>28</v>
      </c>
      <c r="C39" s="84"/>
      <c r="D39" s="85"/>
      <c r="E39" s="85">
        <f>+[1]IYE!W34+[1]IYE!W66</f>
        <v>85244498.739999995</v>
      </c>
      <c r="F39" s="96"/>
      <c r="G39" s="96">
        <f>+E39+[2]Patronato!$G$39</f>
        <v>794871370.43999994</v>
      </c>
      <c r="H39" s="88"/>
    </row>
    <row r="40" spans="1:8" x14ac:dyDescent="0.2">
      <c r="A40" s="94"/>
      <c r="B40" s="95" t="s">
        <v>29</v>
      </c>
      <c r="C40" s="84"/>
      <c r="D40" s="85"/>
      <c r="E40" s="85">
        <f>+[1]IYE!W36+[1]IYE!W68</f>
        <v>6251790.8200000003</v>
      </c>
      <c r="F40" s="96"/>
      <c r="G40" s="96">
        <f>+E40+[2]Patronato!$G$40</f>
        <v>66996660.269999988</v>
      </c>
      <c r="H40" s="88"/>
    </row>
    <row r="41" spans="1:8" x14ac:dyDescent="0.2">
      <c r="A41" s="94"/>
      <c r="B41" s="95" t="s">
        <v>30</v>
      </c>
      <c r="C41" s="84"/>
      <c r="D41" s="85"/>
      <c r="E41" s="85">
        <f>+[1]IYE!W35+[1]IYE!W37+[1]IYE!W67+[1]IYE!W69</f>
        <v>22095931.999999996</v>
      </c>
      <c r="F41" s="96"/>
      <c r="G41" s="96">
        <f>+E41+[2]Patronato!$G$41+2</f>
        <v>183819725.56</v>
      </c>
      <c r="H41" s="88"/>
    </row>
    <row r="42" spans="1:8" x14ac:dyDescent="0.2">
      <c r="A42" s="94"/>
      <c r="B42" s="95" t="s">
        <v>31</v>
      </c>
      <c r="C42" s="84"/>
      <c r="D42" s="85"/>
      <c r="E42" s="85">
        <f>+[1]IYE!W70</f>
        <v>0</v>
      </c>
      <c r="F42" s="96"/>
      <c r="G42" s="96">
        <f>+E42+[2]Patronato!$G$42</f>
        <v>0</v>
      </c>
      <c r="H42" s="88"/>
    </row>
    <row r="43" spans="1:8" x14ac:dyDescent="0.2">
      <c r="A43" s="94"/>
      <c r="B43" s="95" t="s">
        <v>32</v>
      </c>
      <c r="C43" s="84"/>
      <c r="D43" s="85"/>
      <c r="E43" s="85">
        <f>+[1]IYE!W48</f>
        <v>652208.77</v>
      </c>
      <c r="F43" s="96"/>
      <c r="G43" s="96">
        <f>+E43+[2]Patronato!$G$43</f>
        <v>6851367.4900000002</v>
      </c>
      <c r="H43" s="88"/>
    </row>
    <row r="44" spans="1:8" x14ac:dyDescent="0.2">
      <c r="A44" s="94"/>
      <c r="B44" s="95" t="s">
        <v>33</v>
      </c>
      <c r="C44" s="84"/>
      <c r="D44" s="85"/>
      <c r="E44" s="97">
        <f>+[1]IYE!W38+[1]IYE!W71</f>
        <v>5872620.6099999994</v>
      </c>
      <c r="F44" s="96"/>
      <c r="G44" s="98">
        <f>+E44+[2]Patronato!$G$44</f>
        <v>39140871.080000006</v>
      </c>
      <c r="H44" s="88"/>
    </row>
    <row r="45" spans="1:8" ht="15.75" x14ac:dyDescent="0.25">
      <c r="A45" s="99"/>
      <c r="B45" s="100" t="s">
        <v>34</v>
      </c>
      <c r="C45" s="84"/>
      <c r="D45" s="85"/>
      <c r="E45" s="101">
        <f>SUM(E39:E44)</f>
        <v>120117050.94</v>
      </c>
      <c r="F45" s="96"/>
      <c r="G45" s="102">
        <f>SUM(G39:G44)</f>
        <v>1091679994.8399999</v>
      </c>
      <c r="H45" s="88"/>
    </row>
    <row r="46" spans="1:8" x14ac:dyDescent="0.2">
      <c r="A46" s="83"/>
      <c r="B46" s="84"/>
      <c r="C46" s="84"/>
      <c r="D46" s="85"/>
      <c r="E46" s="85"/>
      <c r="F46" s="96"/>
      <c r="G46" s="96"/>
      <c r="H46" s="88"/>
    </row>
    <row r="47" spans="1:8" ht="15.75" x14ac:dyDescent="0.25">
      <c r="A47" s="99"/>
      <c r="B47" s="100" t="s">
        <v>35</v>
      </c>
      <c r="C47" s="84"/>
      <c r="D47" s="85"/>
      <c r="E47" s="30">
        <f>+E36-E45</f>
        <v>6961938.8900000155</v>
      </c>
      <c r="F47" s="31"/>
      <c r="G47" s="31">
        <f>+G36-G45</f>
        <v>191102778.23000002</v>
      </c>
      <c r="H47" s="88"/>
    </row>
    <row r="48" spans="1:8" x14ac:dyDescent="0.2">
      <c r="A48" s="83"/>
      <c r="B48" s="84"/>
      <c r="C48" s="84"/>
      <c r="D48" s="85"/>
      <c r="E48" s="85"/>
      <c r="F48" s="96"/>
      <c r="G48" s="96"/>
      <c r="H48" s="88"/>
    </row>
    <row r="49" spans="1:9" ht="15.75" x14ac:dyDescent="0.25">
      <c r="A49" s="99"/>
      <c r="B49" s="100" t="s">
        <v>36</v>
      </c>
      <c r="C49" s="84"/>
      <c r="D49" s="85"/>
      <c r="E49" s="85"/>
      <c r="F49" s="96"/>
      <c r="G49" s="96"/>
      <c r="H49" s="88"/>
    </row>
    <row r="50" spans="1:9" x14ac:dyDescent="0.2">
      <c r="A50" s="94"/>
      <c r="B50" s="95" t="s">
        <v>37</v>
      </c>
      <c r="C50" s="84"/>
      <c r="D50" s="85"/>
      <c r="E50" s="85">
        <f>+[1]IYE!W56+[1]IYE!W57+[1]IYE!W58+[1]IYE!W59+[1]IYE!W74</f>
        <v>1521321.1199999999</v>
      </c>
      <c r="F50" s="96"/>
      <c r="G50" s="96">
        <f>+E50+[2]Patronato!$G$50</f>
        <v>43206555.179999992</v>
      </c>
      <c r="H50" s="88"/>
    </row>
    <row r="51" spans="1:9" x14ac:dyDescent="0.2">
      <c r="A51" s="94"/>
      <c r="B51" s="95" t="s">
        <v>38</v>
      </c>
      <c r="C51" s="84"/>
      <c r="D51" s="85"/>
      <c r="E51" s="85">
        <f>+[1]IYE!W53+[1]IYE!W54+[1]IYE!W73</f>
        <v>7897506.7299999995</v>
      </c>
      <c r="F51" s="96"/>
      <c r="G51" s="96">
        <f>+E51+[2]Patronato!$G$51</f>
        <v>35917321.739999995</v>
      </c>
      <c r="H51" s="88"/>
    </row>
    <row r="52" spans="1:9" x14ac:dyDescent="0.2">
      <c r="A52" s="94"/>
      <c r="B52" s="95" t="s">
        <v>39</v>
      </c>
      <c r="C52" s="84"/>
      <c r="D52" s="85"/>
      <c r="E52" s="97">
        <f>+[1]IYE!W51+[1]IYE!W52+[1]IYE!W55+[1]IYE!W60+[1]IYE!W61+[1]IYE!W75</f>
        <v>32686</v>
      </c>
      <c r="F52" s="96"/>
      <c r="G52" s="98">
        <f>+E52+[2]Patronato!$G$52</f>
        <v>4496100.37</v>
      </c>
      <c r="H52" s="88"/>
    </row>
    <row r="53" spans="1:9" ht="15.75" x14ac:dyDescent="0.25">
      <c r="A53" s="99"/>
      <c r="B53" s="100" t="s">
        <v>40</v>
      </c>
      <c r="C53" s="84"/>
      <c r="D53" s="85"/>
      <c r="E53" s="101">
        <f>SUM(E50:E52)</f>
        <v>9451513.8499999996</v>
      </c>
      <c r="F53" s="96"/>
      <c r="G53" s="102">
        <f>SUM(G50:G52)</f>
        <v>83619977.289999992</v>
      </c>
      <c r="H53" s="88"/>
    </row>
    <row r="54" spans="1:9" x14ac:dyDescent="0.2">
      <c r="A54" s="83"/>
      <c r="B54" s="84"/>
      <c r="C54" s="84"/>
      <c r="D54" s="85"/>
      <c r="E54" s="85"/>
      <c r="F54" s="96"/>
      <c r="G54" s="96"/>
      <c r="H54" s="88"/>
    </row>
    <row r="55" spans="1:9" ht="15.75" x14ac:dyDescent="0.25">
      <c r="A55" s="83"/>
      <c r="B55" s="84"/>
      <c r="C55" s="100" t="s">
        <v>41</v>
      </c>
      <c r="D55" s="85"/>
      <c r="E55" s="97">
        <f>+E45+E53</f>
        <v>129568564.78999999</v>
      </c>
      <c r="F55" s="96"/>
      <c r="G55" s="98">
        <f>+G45+G53</f>
        <v>1175299972.1299999</v>
      </c>
      <c r="H55" s="88"/>
    </row>
    <row r="56" spans="1:9" x14ac:dyDescent="0.2">
      <c r="A56" s="83"/>
      <c r="B56" s="84"/>
      <c r="C56" s="84"/>
      <c r="D56" s="85"/>
      <c r="E56" s="85"/>
      <c r="F56" s="96"/>
      <c r="G56" s="96"/>
      <c r="H56" s="88"/>
    </row>
    <row r="57" spans="1:9" ht="15.75" x14ac:dyDescent="0.25">
      <c r="A57" s="99"/>
      <c r="B57" s="103" t="s">
        <v>71</v>
      </c>
      <c r="C57" s="100"/>
      <c r="D57" s="104"/>
      <c r="E57" s="105">
        <f>+E36-E55</f>
        <v>-2489574.9599999785</v>
      </c>
      <c r="F57" s="106"/>
      <c r="G57" s="106">
        <f>+G36-G55</f>
        <v>107482800.94000006</v>
      </c>
      <c r="H57" s="107"/>
      <c r="I57" s="93"/>
    </row>
    <row r="58" spans="1:9" x14ac:dyDescent="0.2">
      <c r="A58" s="83"/>
      <c r="B58" s="84"/>
      <c r="C58" s="84"/>
      <c r="D58" s="85"/>
      <c r="E58" s="85"/>
      <c r="F58" s="96"/>
      <c r="G58" s="96"/>
      <c r="H58" s="88"/>
    </row>
    <row r="59" spans="1:9" x14ac:dyDescent="0.2">
      <c r="A59" s="83"/>
      <c r="B59" s="84"/>
      <c r="C59" s="84"/>
      <c r="D59" s="85"/>
      <c r="E59" s="85"/>
      <c r="F59" s="96"/>
      <c r="G59" s="96"/>
      <c r="H59" s="88"/>
    </row>
    <row r="60" spans="1:9" ht="15.75" x14ac:dyDescent="0.25">
      <c r="A60" s="99"/>
      <c r="B60" s="100" t="s">
        <v>43</v>
      </c>
      <c r="C60" s="84"/>
      <c r="D60" s="85"/>
      <c r="E60" s="85"/>
      <c r="F60" s="96"/>
      <c r="G60" s="96"/>
      <c r="H60" s="88"/>
    </row>
    <row r="61" spans="1:9" x14ac:dyDescent="0.2">
      <c r="A61" s="83"/>
      <c r="B61" s="84"/>
      <c r="C61" s="95" t="s">
        <v>44</v>
      </c>
      <c r="D61" s="30">
        <v>42305089.030000001</v>
      </c>
      <c r="E61" s="85"/>
      <c r="F61" s="31">
        <v>123905917.75</v>
      </c>
      <c r="G61" s="108"/>
      <c r="H61" s="88"/>
    </row>
    <row r="62" spans="1:9" x14ac:dyDescent="0.2">
      <c r="A62" s="83"/>
      <c r="B62" s="84"/>
      <c r="C62" s="95" t="s">
        <v>45</v>
      </c>
      <c r="D62" s="30">
        <v>375551.41</v>
      </c>
      <c r="E62" s="85"/>
      <c r="F62" s="31">
        <f>+[2]Patronato!$F$62+D62</f>
        <v>17668970.089999985</v>
      </c>
      <c r="G62" s="108"/>
      <c r="H62" s="88"/>
    </row>
    <row r="63" spans="1:9" x14ac:dyDescent="0.2">
      <c r="A63" s="83"/>
      <c r="B63" s="84"/>
      <c r="C63" s="95" t="s">
        <v>46</v>
      </c>
      <c r="D63" s="30">
        <v>-45170215.399999999</v>
      </c>
      <c r="E63" s="85"/>
      <c r="F63" s="31">
        <v>-34709019.170000002</v>
      </c>
      <c r="G63" s="108"/>
      <c r="H63" s="88"/>
    </row>
    <row r="64" spans="1:9" ht="15.75" x14ac:dyDescent="0.25">
      <c r="A64" s="83"/>
      <c r="B64" s="84"/>
      <c r="C64" s="95" t="s">
        <v>47</v>
      </c>
      <c r="D64" s="38">
        <f>+[1]BALCOM!N40+[1]BALCOM!N41</f>
        <v>0.21000003814697266</v>
      </c>
      <c r="E64" s="109">
        <f>+D61+D62+D63+D64</f>
        <v>-2489574.7499999627</v>
      </c>
      <c r="F64" s="40">
        <f>+[2]Patronato!$F$64+D64-0.5</f>
        <v>616932.57999992371</v>
      </c>
      <c r="G64" s="110">
        <f>+F61+F62+F63+F64</f>
        <v>107482801.2499999</v>
      </c>
      <c r="H64" s="88"/>
    </row>
    <row r="65" spans="1:9" ht="15.75" thickBot="1" x14ac:dyDescent="0.25">
      <c r="A65" s="111"/>
      <c r="B65" s="112"/>
      <c r="C65" s="112"/>
      <c r="D65" s="113"/>
      <c r="E65" s="113"/>
      <c r="F65" s="113"/>
      <c r="G65" s="113"/>
      <c r="H65" s="114"/>
    </row>
    <row r="66" spans="1:9" ht="15.75" x14ac:dyDescent="0.25">
      <c r="A66" s="99"/>
      <c r="B66" s="100" t="s">
        <v>48</v>
      </c>
      <c r="C66" s="84"/>
      <c r="D66" s="85"/>
      <c r="E66" s="85"/>
      <c r="F66" s="85"/>
      <c r="G66" s="85"/>
      <c r="H66" s="88"/>
    </row>
    <row r="67" spans="1:9" ht="15.75" x14ac:dyDescent="0.25">
      <c r="A67" s="99"/>
      <c r="B67" s="100"/>
      <c r="C67" s="100"/>
      <c r="D67" s="115" t="s">
        <v>72</v>
      </c>
      <c r="E67" s="115"/>
      <c r="F67" s="115" t="s">
        <v>73</v>
      </c>
      <c r="G67" s="115"/>
      <c r="H67" s="116"/>
      <c r="I67" s="93"/>
    </row>
    <row r="68" spans="1:9" x14ac:dyDescent="0.2">
      <c r="A68" s="83"/>
      <c r="B68" s="84"/>
      <c r="C68" s="84"/>
      <c r="D68" s="96"/>
      <c r="E68" s="96"/>
      <c r="F68" s="96"/>
      <c r="G68" s="96"/>
      <c r="H68" s="88"/>
    </row>
    <row r="69" spans="1:9" x14ac:dyDescent="0.2">
      <c r="A69" s="94"/>
      <c r="B69" s="95" t="s">
        <v>51</v>
      </c>
      <c r="C69" s="84"/>
      <c r="D69" s="96"/>
      <c r="E69" s="96">
        <f>+[2]Patronato!G69</f>
        <v>226128.93</v>
      </c>
      <c r="F69" s="96"/>
      <c r="G69" s="96">
        <f>+[1]CAJA!G33</f>
        <v>231128.93</v>
      </c>
      <c r="H69" s="88"/>
    </row>
    <row r="70" spans="1:9" x14ac:dyDescent="0.2">
      <c r="A70" s="94"/>
      <c r="B70" s="95" t="s">
        <v>52</v>
      </c>
      <c r="C70" s="84"/>
      <c r="D70" s="96"/>
      <c r="E70" s="96">
        <f>+[2]Patronato!G70</f>
        <v>160352.18</v>
      </c>
      <c r="F70" s="96"/>
      <c r="G70" s="96">
        <f>+[1]CAJA!G31</f>
        <v>165352.18</v>
      </c>
      <c r="H70" s="88"/>
    </row>
    <row r="71" spans="1:9" x14ac:dyDescent="0.2">
      <c r="A71" s="94"/>
      <c r="B71" s="95" t="s">
        <v>53</v>
      </c>
      <c r="C71" s="84"/>
      <c r="D71" s="96"/>
      <c r="E71" s="96">
        <f>+[2]Patronato!G71</f>
        <v>43319404.910000011</v>
      </c>
      <c r="F71" s="96"/>
      <c r="G71" s="96">
        <f>+[1]CAJA!G37</f>
        <v>46047283.480000004</v>
      </c>
      <c r="H71" s="88"/>
    </row>
    <row r="72" spans="1:9" x14ac:dyDescent="0.2">
      <c r="A72" s="94"/>
      <c r="B72" s="95" t="s">
        <v>54</v>
      </c>
      <c r="C72" s="84"/>
      <c r="D72" s="96"/>
      <c r="E72" s="96">
        <f>+[2]Patronato!G72</f>
        <v>53208197.660000004</v>
      </c>
      <c r="F72" s="96"/>
      <c r="G72" s="96">
        <f>+[1]CAJA!G35</f>
        <v>44454646.130000003</v>
      </c>
      <c r="H72" s="88"/>
    </row>
    <row r="73" spans="1:9" ht="15.75" x14ac:dyDescent="0.25">
      <c r="A73" s="99"/>
      <c r="B73" s="100" t="s">
        <v>55</v>
      </c>
      <c r="C73" s="100"/>
      <c r="D73" s="115"/>
      <c r="E73" s="115"/>
      <c r="F73" s="115"/>
      <c r="G73" s="115"/>
      <c r="H73" s="116"/>
      <c r="I73" s="93"/>
    </row>
    <row r="74" spans="1:9" x14ac:dyDescent="0.2">
      <c r="A74" s="94"/>
      <c r="B74" s="95" t="s">
        <v>56</v>
      </c>
      <c r="C74" s="84"/>
      <c r="D74" s="96">
        <f>+[2]Patronato!F74</f>
        <v>16181167.739999998</v>
      </c>
      <c r="E74" s="96"/>
      <c r="F74" s="96">
        <f>+[1]CUSTODIA!M64</f>
        <v>14560395.27</v>
      </c>
      <c r="G74" s="96"/>
      <c r="H74" s="88"/>
    </row>
    <row r="75" spans="1:9" x14ac:dyDescent="0.2">
      <c r="A75" s="94"/>
      <c r="B75" s="95" t="s">
        <v>57</v>
      </c>
      <c r="C75" s="84"/>
      <c r="D75" s="96">
        <f>+[2]Patronato!F75</f>
        <v>11446131.439999999</v>
      </c>
      <c r="E75" s="96"/>
      <c r="F75" s="96">
        <f>+[1]CUSTODIA!M68</f>
        <v>18213137.039999999</v>
      </c>
      <c r="G75" s="96"/>
      <c r="H75" s="88"/>
    </row>
    <row r="76" spans="1:9" x14ac:dyDescent="0.2">
      <c r="A76" s="94"/>
      <c r="B76" s="95" t="s">
        <v>58</v>
      </c>
      <c r="C76" s="84"/>
      <c r="D76" s="96">
        <f>+[2]Patronato!F76</f>
        <v>116037.55</v>
      </c>
      <c r="E76" s="96"/>
      <c r="F76" s="96">
        <f>+[1]CUSTODIA!M66</f>
        <v>116037.55</v>
      </c>
      <c r="G76" s="96"/>
      <c r="H76" s="88"/>
    </row>
    <row r="77" spans="1:9" x14ac:dyDescent="0.2">
      <c r="A77" s="94"/>
      <c r="B77" s="95" t="s">
        <v>22</v>
      </c>
      <c r="C77" s="84"/>
      <c r="D77" s="96">
        <f>+[2]Patronato!F77</f>
        <v>5116115.45</v>
      </c>
      <c r="E77" s="96"/>
      <c r="F77" s="96">
        <f>+[1]CUSTODIA!M62</f>
        <v>4701726.5299999993</v>
      </c>
      <c r="G77" s="96"/>
      <c r="H77" s="88"/>
    </row>
    <row r="78" spans="1:9" x14ac:dyDescent="0.2">
      <c r="A78" s="94"/>
      <c r="B78" s="95" t="s">
        <v>59</v>
      </c>
      <c r="C78" s="84"/>
      <c r="D78" s="96">
        <f>+[2]Patronato!F78</f>
        <v>8050229.6799999997</v>
      </c>
      <c r="E78" s="96"/>
      <c r="F78" s="96">
        <f>+[1]CUSTODIA!M72</f>
        <v>54287008.589999996</v>
      </c>
      <c r="G78" s="96"/>
      <c r="H78" s="88"/>
    </row>
    <row r="79" spans="1:9" ht="15.75" x14ac:dyDescent="0.25">
      <c r="A79" s="94"/>
      <c r="B79" s="95" t="s">
        <v>60</v>
      </c>
      <c r="C79" s="84"/>
      <c r="D79" s="98">
        <f>+[2]Patronato!$F$79</f>
        <v>17317665.399999999</v>
      </c>
      <c r="E79" s="98">
        <f>+D74+D75+D76+D77+D78+D79</f>
        <v>58227347.259999998</v>
      </c>
      <c r="F79" s="98">
        <f>+[1]CUSTODIA!M70</f>
        <v>14669804.270000001</v>
      </c>
      <c r="G79" s="98">
        <f>+F74+F75+F76+F77+F78+F79</f>
        <v>106548109.24999999</v>
      </c>
      <c r="H79" s="88"/>
      <c r="I79" s="93"/>
    </row>
    <row r="80" spans="1:9" ht="15.75" x14ac:dyDescent="0.25">
      <c r="A80" s="99"/>
      <c r="B80" s="100" t="s">
        <v>61</v>
      </c>
      <c r="C80" s="100"/>
      <c r="D80" s="115"/>
      <c r="E80" s="96">
        <f>+E69+E70+E71+E72+E79</f>
        <v>155141430.94</v>
      </c>
      <c r="F80" s="115"/>
      <c r="G80" s="96">
        <f>SUM(G69:G79)</f>
        <v>197446519.96999997</v>
      </c>
      <c r="H80" s="116"/>
      <c r="I80" s="93"/>
    </row>
    <row r="81" spans="1:9" ht="16.5" thickBot="1" x14ac:dyDescent="0.3">
      <c r="A81" s="99"/>
      <c r="B81" s="100"/>
      <c r="C81" s="100"/>
      <c r="D81" s="104"/>
      <c r="E81" s="104"/>
      <c r="F81" s="115"/>
      <c r="G81" s="96"/>
      <c r="H81" s="116"/>
      <c r="I81" s="117"/>
    </row>
    <row r="82" spans="1:9" ht="12.75" x14ac:dyDescent="0.2">
      <c r="A82" s="118"/>
      <c r="B82" s="119"/>
      <c r="C82" s="119"/>
      <c r="D82" s="120"/>
      <c r="E82" s="120"/>
      <c r="F82" s="120"/>
      <c r="G82" s="120"/>
      <c r="H82" s="121"/>
      <c r="I82" s="117"/>
    </row>
    <row r="83" spans="1:9" ht="12.75" x14ac:dyDescent="0.2">
      <c r="A83" s="122"/>
      <c r="B83" s="123"/>
      <c r="C83" s="123"/>
      <c r="D83" s="124"/>
      <c r="E83" s="124"/>
      <c r="F83" s="124"/>
      <c r="G83" s="124"/>
      <c r="H83" s="125"/>
      <c r="I83" s="117"/>
    </row>
    <row r="84" spans="1:9" ht="12.75" x14ac:dyDescent="0.2">
      <c r="A84" s="122"/>
      <c r="B84" s="123"/>
      <c r="C84" s="123"/>
      <c r="D84" s="124"/>
      <c r="E84" s="124"/>
      <c r="F84" s="124"/>
      <c r="G84" s="124"/>
      <c r="H84" s="125"/>
      <c r="I84" s="117"/>
    </row>
    <row r="85" spans="1:9" ht="12.75" x14ac:dyDescent="0.2">
      <c r="A85" s="122"/>
      <c r="B85" s="123"/>
      <c r="C85" s="123"/>
      <c r="D85" s="124"/>
      <c r="E85" s="124"/>
      <c r="F85" s="124"/>
      <c r="G85" s="124"/>
      <c r="H85" s="125"/>
      <c r="I85" s="126"/>
    </row>
    <row r="86" spans="1:9" ht="12.75" x14ac:dyDescent="0.2">
      <c r="A86" s="127" t="s">
        <v>62</v>
      </c>
      <c r="B86" s="128"/>
      <c r="C86" s="129"/>
      <c r="D86" s="130" t="s">
        <v>63</v>
      </c>
      <c r="E86" s="131"/>
      <c r="F86" s="132" t="s">
        <v>64</v>
      </c>
      <c r="G86" s="131"/>
      <c r="H86" s="133" t="s">
        <v>65</v>
      </c>
      <c r="I86" s="126"/>
    </row>
    <row r="87" spans="1:9" ht="12.75" x14ac:dyDescent="0.2">
      <c r="A87" s="134"/>
      <c r="B87" s="135" t="s">
        <v>66</v>
      </c>
      <c r="C87" s="136" t="s">
        <v>67</v>
      </c>
      <c r="D87" s="136"/>
      <c r="E87" s="131"/>
      <c r="F87" s="132" t="s">
        <v>68</v>
      </c>
      <c r="G87" s="131"/>
      <c r="H87" s="133" t="s">
        <v>69</v>
      </c>
      <c r="I87" s="117"/>
    </row>
    <row r="88" spans="1:9" ht="15.75" thickBot="1" x14ac:dyDescent="0.25">
      <c r="A88" s="137"/>
      <c r="B88" s="138"/>
      <c r="C88" s="138"/>
      <c r="D88" s="139"/>
      <c r="E88" s="139"/>
      <c r="F88" s="139"/>
      <c r="G88" s="139"/>
      <c r="H88" s="140"/>
    </row>
    <row r="89" spans="1:9" x14ac:dyDescent="0.2">
      <c r="D89" s="141"/>
    </row>
  </sheetData>
  <pageMargins left="0.75" right="0.75" top="1" bottom="0.72" header="0" footer="0"/>
  <pageSetup scale="51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1</xdr:col>
                <xdr:colOff>0</xdr:colOff>
                <xdr:row>1</xdr:row>
                <xdr:rowOff>66675</xdr:rowOff>
              </from>
              <to>
                <xdr:col>2</xdr:col>
                <xdr:colOff>685800</xdr:colOff>
                <xdr:row>5</xdr:row>
                <xdr:rowOff>180975</xdr:rowOff>
              </to>
            </anchor>
          </objectPr>
        </oleObject>
      </mc:Choice>
      <mc:Fallback>
        <oleObject progId="PBrush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89"/>
  <sheetViews>
    <sheetView zoomScale="80" zoomScaleNormal="80" workbookViewId="0">
      <selection activeCell="E25" sqref="E25"/>
    </sheetView>
  </sheetViews>
  <sheetFormatPr baseColWidth="10" defaultRowHeight="15" x14ac:dyDescent="0.2"/>
  <cols>
    <col min="1" max="1" width="2.85546875" style="76" customWidth="1"/>
    <col min="2" max="2" width="15" style="73" customWidth="1"/>
    <col min="3" max="3" width="5.140625" style="73" customWidth="1"/>
    <col min="4" max="4" width="33.28515625" style="73" customWidth="1"/>
    <col min="5" max="5" width="23.5703125" style="74" customWidth="1"/>
    <col min="6" max="6" width="20" style="74" customWidth="1"/>
    <col min="7" max="7" width="18.7109375" style="74" customWidth="1"/>
    <col min="8" max="8" width="19.140625" style="74" customWidth="1"/>
    <col min="9" max="9" width="27.7109375" style="73" customWidth="1"/>
    <col min="10" max="10" width="14.5703125" style="75" bestFit="1" customWidth="1"/>
    <col min="11" max="11" width="12" style="76" customWidth="1"/>
    <col min="12" max="16384" width="11.42578125" style="76"/>
  </cols>
  <sheetData>
    <row r="1" spans="2:10" ht="15.75" thickBot="1" x14ac:dyDescent="0.25"/>
    <row r="2" spans="2:10" ht="20.25" x14ac:dyDescent="0.3">
      <c r="B2" s="77"/>
      <c r="C2" s="78"/>
      <c r="D2" s="78"/>
      <c r="E2" s="79"/>
      <c r="F2" s="80"/>
      <c r="G2" s="81"/>
      <c r="H2" s="79"/>
      <c r="I2" s="82"/>
    </row>
    <row r="3" spans="2:10" ht="21.75" x14ac:dyDescent="0.3">
      <c r="B3" s="83"/>
      <c r="C3" s="84"/>
      <c r="D3" s="84"/>
      <c r="E3" s="85"/>
      <c r="F3" s="86" t="s">
        <v>0</v>
      </c>
      <c r="G3" s="87"/>
      <c r="H3" s="85"/>
      <c r="I3" s="88"/>
    </row>
    <row r="4" spans="2:10" ht="21.75" x14ac:dyDescent="0.3">
      <c r="B4" s="83"/>
      <c r="C4" s="84"/>
      <c r="D4" s="84"/>
      <c r="E4" s="85"/>
      <c r="F4" s="86" t="s">
        <v>1</v>
      </c>
      <c r="G4" s="87"/>
      <c r="H4" s="85"/>
      <c r="I4" s="88"/>
    </row>
    <row r="5" spans="2:10" ht="21.75" x14ac:dyDescent="0.3">
      <c r="B5" s="83"/>
      <c r="C5" s="84"/>
      <c r="D5" s="84"/>
      <c r="E5" s="85"/>
      <c r="F5" s="86" t="s">
        <v>74</v>
      </c>
      <c r="G5" s="87"/>
      <c r="H5" s="85"/>
      <c r="I5" s="88"/>
    </row>
    <row r="6" spans="2:10" ht="15.75" thickBot="1" x14ac:dyDescent="0.25">
      <c r="B6" s="83"/>
      <c r="C6" s="84"/>
      <c r="D6" s="84"/>
      <c r="E6" s="85"/>
      <c r="F6" s="85"/>
      <c r="G6" s="85"/>
      <c r="H6" s="85"/>
      <c r="I6" s="88"/>
    </row>
    <row r="7" spans="2:10" ht="15.75" x14ac:dyDescent="0.25">
      <c r="B7" s="89"/>
      <c r="C7" s="90" t="s">
        <v>3</v>
      </c>
      <c r="D7" s="90"/>
      <c r="E7" s="91"/>
      <c r="F7" s="81" t="s">
        <v>4</v>
      </c>
      <c r="G7" s="81"/>
      <c r="H7" s="81" t="s">
        <v>5</v>
      </c>
      <c r="I7" s="92"/>
      <c r="J7" s="93"/>
    </row>
    <row r="8" spans="2:10" x14ac:dyDescent="0.2">
      <c r="B8" s="83"/>
      <c r="C8" s="84"/>
      <c r="D8" s="84"/>
      <c r="E8" s="85"/>
      <c r="F8" s="85"/>
      <c r="G8" s="85"/>
      <c r="H8" s="85"/>
      <c r="I8" s="88"/>
    </row>
    <row r="9" spans="2:10" x14ac:dyDescent="0.2">
      <c r="B9" s="94"/>
      <c r="C9" s="95" t="s">
        <v>6</v>
      </c>
      <c r="D9" s="84"/>
      <c r="E9" s="85"/>
      <c r="F9" s="85">
        <f>+[3]IYE!Y6</f>
        <v>95825408</v>
      </c>
      <c r="G9" s="96"/>
      <c r="H9" s="96">
        <f>+F9+[1]Patronato!$G$9</f>
        <v>627817199</v>
      </c>
      <c r="I9" s="88"/>
    </row>
    <row r="10" spans="2:10" x14ac:dyDescent="0.2">
      <c r="B10" s="94"/>
      <c r="C10" s="95" t="s">
        <v>7</v>
      </c>
      <c r="D10" s="84"/>
      <c r="E10" s="85"/>
      <c r="F10" s="97">
        <f>+[3]IYE!Y7+[3]IYE!Y8</f>
        <v>82639399</v>
      </c>
      <c r="G10" s="96"/>
      <c r="H10" s="98">
        <f>+F10+[1]Patronato!$G$10</f>
        <v>399656089</v>
      </c>
      <c r="I10" s="88"/>
    </row>
    <row r="11" spans="2:10" ht="15.75" x14ac:dyDescent="0.25">
      <c r="B11" s="99"/>
      <c r="C11" s="100" t="s">
        <v>8</v>
      </c>
      <c r="D11" s="84"/>
      <c r="E11" s="85"/>
      <c r="F11" s="85">
        <f>SUM(F9:F10)</f>
        <v>178464807</v>
      </c>
      <c r="G11" s="96"/>
      <c r="H11" s="96">
        <f>SUM(H9:H10)</f>
        <v>1027473288</v>
      </c>
      <c r="I11" s="88"/>
    </row>
    <row r="12" spans="2:10" x14ac:dyDescent="0.2">
      <c r="B12" s="83"/>
      <c r="C12" s="84"/>
      <c r="D12" s="84"/>
      <c r="E12" s="85"/>
      <c r="F12" s="85"/>
      <c r="G12" s="96"/>
      <c r="H12" s="96"/>
      <c r="I12" s="88"/>
    </row>
    <row r="13" spans="2:10" ht="15.75" x14ac:dyDescent="0.25">
      <c r="B13" s="99"/>
      <c r="C13" s="100" t="s">
        <v>9</v>
      </c>
      <c r="D13" s="84"/>
      <c r="E13" s="85"/>
      <c r="F13" s="85"/>
      <c r="G13" s="96"/>
      <c r="H13" s="96"/>
      <c r="I13" s="88"/>
    </row>
    <row r="14" spans="2:10" x14ac:dyDescent="0.2">
      <c r="B14" s="83"/>
      <c r="C14" s="84"/>
      <c r="D14" s="84"/>
      <c r="E14" s="85"/>
      <c r="F14" s="85"/>
      <c r="G14" s="96"/>
      <c r="H14" s="96"/>
      <c r="I14" s="88"/>
    </row>
    <row r="15" spans="2:10" x14ac:dyDescent="0.2">
      <c r="B15" s="94"/>
      <c r="C15" s="95" t="s">
        <v>10</v>
      </c>
      <c r="D15" s="84"/>
      <c r="E15" s="85"/>
      <c r="F15" s="85">
        <f>+[3]IYE!Y16</f>
        <v>2083446.75</v>
      </c>
      <c r="G15" s="96"/>
      <c r="H15" s="96">
        <f>+F15+[1]Patronato!$G$15</f>
        <v>196936442.40000001</v>
      </c>
      <c r="I15" s="88"/>
    </row>
    <row r="16" spans="2:10" x14ac:dyDescent="0.2">
      <c r="B16" s="94"/>
      <c r="C16" s="95" t="s">
        <v>11</v>
      </c>
      <c r="D16" s="84"/>
      <c r="E16" s="85"/>
      <c r="F16" s="85">
        <f>+[3]IYE!Y15</f>
        <v>3080288.35</v>
      </c>
      <c r="G16" s="96"/>
      <c r="H16" s="96">
        <f>+F16+[1]Patronato!$G$16</f>
        <v>88883858.839999989</v>
      </c>
      <c r="I16" s="88"/>
    </row>
    <row r="17" spans="2:9" x14ac:dyDescent="0.2">
      <c r="B17" s="94"/>
      <c r="C17" s="95" t="s">
        <v>12</v>
      </c>
      <c r="D17" s="84"/>
      <c r="E17" s="85"/>
      <c r="F17" s="97">
        <f>+[3]IYE!Y18</f>
        <v>1236050</v>
      </c>
      <c r="G17" s="96"/>
      <c r="H17" s="98">
        <f>+F17+[1]Patronato!$G$17</f>
        <v>7570976</v>
      </c>
      <c r="I17" s="88"/>
    </row>
    <row r="18" spans="2:9" ht="15.75" x14ac:dyDescent="0.25">
      <c r="B18" s="99"/>
      <c r="C18" s="100" t="s">
        <v>13</v>
      </c>
      <c r="D18" s="84"/>
      <c r="E18" s="85"/>
      <c r="F18" s="85">
        <f>SUM(F15:F17)</f>
        <v>6399785.0999999996</v>
      </c>
      <c r="G18" s="96"/>
      <c r="H18" s="96">
        <f>SUM(H15:H17)</f>
        <v>293391277.24000001</v>
      </c>
      <c r="I18" s="88"/>
    </row>
    <row r="19" spans="2:9" x14ac:dyDescent="0.2">
      <c r="B19" s="83"/>
      <c r="C19" s="84"/>
      <c r="D19" s="84"/>
      <c r="E19" s="85"/>
      <c r="F19" s="85"/>
      <c r="G19" s="96"/>
      <c r="H19" s="96"/>
      <c r="I19" s="88"/>
    </row>
    <row r="20" spans="2:9" ht="15.75" x14ac:dyDescent="0.25">
      <c r="B20" s="99"/>
      <c r="C20" s="100" t="s">
        <v>14</v>
      </c>
      <c r="D20" s="84"/>
      <c r="E20" s="85"/>
      <c r="F20" s="85"/>
      <c r="G20" s="96"/>
      <c r="H20" s="96"/>
      <c r="I20" s="88"/>
    </row>
    <row r="21" spans="2:9" x14ac:dyDescent="0.2">
      <c r="B21" s="83"/>
      <c r="C21" s="84"/>
      <c r="D21" s="84"/>
      <c r="E21" s="85"/>
      <c r="F21" s="85"/>
      <c r="G21" s="96"/>
      <c r="H21" s="96"/>
      <c r="I21" s="88"/>
    </row>
    <row r="22" spans="2:9" x14ac:dyDescent="0.2">
      <c r="B22" s="94"/>
      <c r="C22" s="95" t="s">
        <v>15</v>
      </c>
      <c r="D22" s="84"/>
      <c r="E22" s="85"/>
      <c r="F22" s="85">
        <f>+[3]IYE!Y17</f>
        <v>4576443.16</v>
      </c>
      <c r="G22" s="96"/>
      <c r="H22" s="96">
        <f>+F22+[1]Patronato!$G$22</f>
        <v>81664635.079999998</v>
      </c>
      <c r="I22" s="88"/>
    </row>
    <row r="23" spans="2:9" x14ac:dyDescent="0.2">
      <c r="B23" s="94"/>
      <c r="C23" s="95" t="s">
        <v>16</v>
      </c>
      <c r="D23" s="84"/>
      <c r="E23" s="85"/>
      <c r="F23" s="85">
        <f>+[3]IYE!Y21</f>
        <v>423695.94</v>
      </c>
      <c r="G23" s="96"/>
      <c r="H23" s="96">
        <f>+F23+[1]Patronato!$G$23</f>
        <v>3716575.94</v>
      </c>
      <c r="I23" s="88"/>
    </row>
    <row r="24" spans="2:9" x14ac:dyDescent="0.2">
      <c r="B24" s="94"/>
      <c r="C24" s="95" t="s">
        <v>17</v>
      </c>
      <c r="D24" s="84"/>
      <c r="E24" s="85"/>
      <c r="F24" s="85">
        <v>21245</v>
      </c>
      <c r="G24" s="96"/>
      <c r="H24" s="96">
        <f>+F24+[1]Patronato!$G$24</f>
        <v>1043727</v>
      </c>
      <c r="I24" s="88"/>
    </row>
    <row r="25" spans="2:9" x14ac:dyDescent="0.2">
      <c r="B25" s="94"/>
      <c r="C25" s="95" t="s">
        <v>18</v>
      </c>
      <c r="D25" s="84"/>
      <c r="E25" s="85"/>
      <c r="F25" s="85">
        <v>278599.46000000002</v>
      </c>
      <c r="G25" s="96"/>
      <c r="H25" s="96">
        <f>+F25+[1]Patronato!$G$25</f>
        <v>2937580.4200000004</v>
      </c>
      <c r="I25" s="88"/>
    </row>
    <row r="26" spans="2:9" x14ac:dyDescent="0.2">
      <c r="B26" s="94"/>
      <c r="C26" s="95" t="s">
        <v>19</v>
      </c>
      <c r="D26" s="84"/>
      <c r="E26" s="85"/>
      <c r="F26" s="85">
        <f>3841263.62+8526116</f>
        <v>12367379.620000001</v>
      </c>
      <c r="G26" s="96"/>
      <c r="H26" s="96">
        <f>+F26+[1]Patronato!$G$26</f>
        <v>44723885.32</v>
      </c>
      <c r="I26" s="88"/>
    </row>
    <row r="27" spans="2:9" x14ac:dyDescent="0.2">
      <c r="B27" s="94"/>
      <c r="C27" s="95" t="s">
        <v>20</v>
      </c>
      <c r="D27" s="84"/>
      <c r="E27" s="85"/>
      <c r="F27" s="85">
        <f>+[3]IYE!Y22</f>
        <v>920429.91</v>
      </c>
      <c r="G27" s="96"/>
      <c r="H27" s="96">
        <f>+F27+[1]Patronato!$G$27</f>
        <v>6157232.9299999997</v>
      </c>
      <c r="I27" s="88"/>
    </row>
    <row r="28" spans="2:9" x14ac:dyDescent="0.2">
      <c r="B28" s="94"/>
      <c r="C28" s="95" t="s">
        <v>21</v>
      </c>
      <c r="D28" s="84"/>
      <c r="E28" s="85"/>
      <c r="F28" s="85">
        <f>+[3]IYE!Y20</f>
        <v>685389.56</v>
      </c>
      <c r="G28" s="96"/>
      <c r="H28" s="96">
        <f>+F28+[1]Patronato!$G$28</f>
        <v>25496633.09</v>
      </c>
      <c r="I28" s="88"/>
    </row>
    <row r="29" spans="2:9" x14ac:dyDescent="0.2">
      <c r="B29" s="94"/>
      <c r="C29" s="95" t="s">
        <v>22</v>
      </c>
      <c r="D29" s="84"/>
      <c r="E29" s="85"/>
      <c r="F29" s="97">
        <f>+[3]IYE!Y14</f>
        <v>7727446.9900000002</v>
      </c>
      <c r="G29" s="96"/>
      <c r="H29" s="96">
        <f>+F29+[1]Patronato!$G$29</f>
        <v>63883887.74000001</v>
      </c>
      <c r="I29" s="88"/>
    </row>
    <row r="30" spans="2:9" ht="15.75" x14ac:dyDescent="0.25">
      <c r="B30" s="99"/>
      <c r="C30" s="100" t="s">
        <v>23</v>
      </c>
      <c r="D30" s="84"/>
      <c r="E30" s="85"/>
      <c r="F30" s="101">
        <f>SUM(F22:F29)</f>
        <v>27000629.640000001</v>
      </c>
      <c r="G30" s="96"/>
      <c r="H30" s="102">
        <f>SUM(H22:H29)-1</f>
        <v>229624156.52000001</v>
      </c>
      <c r="I30" s="88"/>
    </row>
    <row r="31" spans="2:9" x14ac:dyDescent="0.2">
      <c r="B31" s="83"/>
      <c r="C31" s="84"/>
      <c r="D31" s="84"/>
      <c r="E31" s="85"/>
      <c r="F31" s="85"/>
      <c r="G31" s="96"/>
      <c r="H31" s="96"/>
      <c r="I31" s="88"/>
    </row>
    <row r="32" spans="2:9" ht="15.75" x14ac:dyDescent="0.25">
      <c r="B32" s="83"/>
      <c r="C32" s="84"/>
      <c r="D32" s="100" t="s">
        <v>24</v>
      </c>
      <c r="E32" s="85"/>
      <c r="F32" s="85">
        <f>+F11+F18+F30</f>
        <v>211865221.74000001</v>
      </c>
      <c r="G32" s="96"/>
      <c r="H32" s="96">
        <f>+H11+H18+H30</f>
        <v>1550488721.76</v>
      </c>
      <c r="I32" s="88"/>
    </row>
    <row r="33" spans="2:9" x14ac:dyDescent="0.2">
      <c r="B33" s="83"/>
      <c r="C33" s="84"/>
      <c r="D33" s="84"/>
      <c r="E33" s="85"/>
      <c r="F33" s="85"/>
      <c r="G33" s="96"/>
      <c r="H33" s="96"/>
      <c r="I33" s="88"/>
    </row>
    <row r="34" spans="2:9" ht="15.75" x14ac:dyDescent="0.25">
      <c r="B34" s="83"/>
      <c r="C34" s="84"/>
      <c r="D34" s="100" t="s">
        <v>25</v>
      </c>
      <c r="E34" s="85"/>
      <c r="F34" s="97">
        <f>+[3]IYE!Y28</f>
        <v>1648476.01</v>
      </c>
      <c r="G34" s="96"/>
      <c r="H34" s="98">
        <f>+F34+[1]Patronato!$G$34</f>
        <v>57489203.960000008</v>
      </c>
      <c r="I34" s="88"/>
    </row>
    <row r="35" spans="2:9" x14ac:dyDescent="0.2">
      <c r="B35" s="83"/>
      <c r="C35" s="84"/>
      <c r="D35" s="84"/>
      <c r="E35" s="85"/>
      <c r="F35" s="85"/>
      <c r="G35" s="96"/>
      <c r="H35" s="96"/>
      <c r="I35" s="88"/>
    </row>
    <row r="36" spans="2:9" ht="15.75" x14ac:dyDescent="0.25">
      <c r="B36" s="83"/>
      <c r="C36" s="84"/>
      <c r="D36" s="100" t="s">
        <v>26</v>
      </c>
      <c r="E36" s="85"/>
      <c r="F36" s="85">
        <f>+F32-F34</f>
        <v>210216745.73000002</v>
      </c>
      <c r="G36" s="96"/>
      <c r="H36" s="96">
        <f>+H32-H34</f>
        <v>1492999517.8</v>
      </c>
      <c r="I36" s="88"/>
    </row>
    <row r="37" spans="2:9" x14ac:dyDescent="0.2">
      <c r="B37" s="83"/>
      <c r="C37" s="84"/>
      <c r="D37" s="84"/>
      <c r="E37" s="85"/>
      <c r="F37" s="85"/>
      <c r="G37" s="96"/>
      <c r="H37" s="96"/>
      <c r="I37" s="88"/>
    </row>
    <row r="38" spans="2:9" ht="15.75" x14ac:dyDescent="0.25">
      <c r="B38" s="99"/>
      <c r="C38" s="100" t="s">
        <v>27</v>
      </c>
      <c r="D38" s="84"/>
      <c r="E38" s="85"/>
      <c r="F38" s="85"/>
      <c r="G38" s="96"/>
      <c r="H38" s="96"/>
      <c r="I38" s="88"/>
    </row>
    <row r="39" spans="2:9" x14ac:dyDescent="0.2">
      <c r="B39" s="94"/>
      <c r="C39" s="95" t="s">
        <v>28</v>
      </c>
      <c r="D39" s="84"/>
      <c r="E39" s="85"/>
      <c r="F39" s="85">
        <f>+[3]IYE!Y34+[3]IYE!Y66</f>
        <v>120013318.27</v>
      </c>
      <c r="G39" s="96"/>
      <c r="H39" s="96">
        <f>+F39+[1]Patronato!$G$39</f>
        <v>914884688.70999992</v>
      </c>
      <c r="I39" s="88"/>
    </row>
    <row r="40" spans="2:9" x14ac:dyDescent="0.2">
      <c r="B40" s="94"/>
      <c r="C40" s="95" t="s">
        <v>29</v>
      </c>
      <c r="D40" s="84"/>
      <c r="E40" s="85"/>
      <c r="F40" s="85">
        <f>+[3]IYE!Y36+[3]IYE!Y68</f>
        <v>10499929.190000001</v>
      </c>
      <c r="G40" s="96"/>
      <c r="H40" s="96">
        <f>+F40+[1]Patronato!$G$40</f>
        <v>77496589.459999993</v>
      </c>
      <c r="I40" s="88"/>
    </row>
    <row r="41" spans="2:9" x14ac:dyDescent="0.2">
      <c r="B41" s="94"/>
      <c r="C41" s="95" t="s">
        <v>30</v>
      </c>
      <c r="D41" s="84"/>
      <c r="E41" s="85"/>
      <c r="F41" s="85">
        <f>+[3]IYE!Y35+[3]IYE!Y37+[3]IYE!Y67+[3]IYE!Y69+0.5</f>
        <v>25687408.990000002</v>
      </c>
      <c r="G41" s="96"/>
      <c r="H41" s="96">
        <f>+F41+[1]Patronato!$G$41-4</f>
        <v>209507130.55000001</v>
      </c>
      <c r="I41" s="88"/>
    </row>
    <row r="42" spans="2:9" x14ac:dyDescent="0.2">
      <c r="B42" s="94"/>
      <c r="C42" s="95" t="s">
        <v>31</v>
      </c>
      <c r="D42" s="84"/>
      <c r="E42" s="85"/>
      <c r="F42" s="85">
        <f>+[3]IYE!Y70</f>
        <v>0</v>
      </c>
      <c r="G42" s="96"/>
      <c r="H42" s="96">
        <f>+F42+[1]Patronato!$G$42</f>
        <v>0</v>
      </c>
      <c r="I42" s="88"/>
    </row>
    <row r="43" spans="2:9" x14ac:dyDescent="0.2">
      <c r="B43" s="94"/>
      <c r="C43" s="95" t="s">
        <v>32</v>
      </c>
      <c r="D43" s="84"/>
      <c r="E43" s="85"/>
      <c r="F43" s="85">
        <f>+[3]IYE!Y48+1</f>
        <v>719105.01</v>
      </c>
      <c r="G43" s="96"/>
      <c r="H43" s="96">
        <f>+F43+[1]Patronato!$G$43</f>
        <v>7570472.5</v>
      </c>
      <c r="I43" s="88"/>
    </row>
    <row r="44" spans="2:9" x14ac:dyDescent="0.2">
      <c r="B44" s="94"/>
      <c r="C44" s="95" t="s">
        <v>33</v>
      </c>
      <c r="D44" s="84"/>
      <c r="E44" s="85"/>
      <c r="F44" s="97">
        <f>+[3]IYE!Y38+[3]IYE!Y71</f>
        <v>3930240.25</v>
      </c>
      <c r="G44" s="96"/>
      <c r="H44" s="98">
        <f>+F44+[1]Patronato!$G$44</f>
        <v>43071111.330000006</v>
      </c>
      <c r="I44" s="88"/>
    </row>
    <row r="45" spans="2:9" ht="15.75" x14ac:dyDescent="0.25">
      <c r="B45" s="99"/>
      <c r="C45" s="100" t="s">
        <v>34</v>
      </c>
      <c r="D45" s="84"/>
      <c r="E45" s="85"/>
      <c r="F45" s="101">
        <f>SUM(F39:F44)-1</f>
        <v>160850000.70999998</v>
      </c>
      <c r="G45" s="96"/>
      <c r="H45" s="102">
        <f>SUM(H39:H44)</f>
        <v>1252529992.55</v>
      </c>
      <c r="I45" s="88"/>
    </row>
    <row r="46" spans="2:9" x14ac:dyDescent="0.2">
      <c r="B46" s="83"/>
      <c r="C46" s="84"/>
      <c r="D46" s="84"/>
      <c r="E46" s="85"/>
      <c r="F46" s="85"/>
      <c r="G46" s="96"/>
      <c r="H46" s="96"/>
      <c r="I46" s="88"/>
    </row>
    <row r="47" spans="2:9" ht="15.75" x14ac:dyDescent="0.25">
      <c r="B47" s="99"/>
      <c r="C47" s="100" t="s">
        <v>35</v>
      </c>
      <c r="D47" s="84"/>
      <c r="E47" s="85"/>
      <c r="F47" s="30">
        <f>+F36-F45</f>
        <v>49366745.020000041</v>
      </c>
      <c r="G47" s="31"/>
      <c r="H47" s="31">
        <f>+H36-H45</f>
        <v>240469525.25</v>
      </c>
      <c r="I47" s="88"/>
    </row>
    <row r="48" spans="2:9" x14ac:dyDescent="0.2">
      <c r="B48" s="83"/>
      <c r="C48" s="84"/>
      <c r="D48" s="84"/>
      <c r="E48" s="85"/>
      <c r="F48" s="85"/>
      <c r="G48" s="96"/>
      <c r="H48" s="96"/>
      <c r="I48" s="88"/>
    </row>
    <row r="49" spans="2:10" ht="15.75" x14ac:dyDescent="0.25">
      <c r="B49" s="99"/>
      <c r="C49" s="100" t="s">
        <v>36</v>
      </c>
      <c r="D49" s="84"/>
      <c r="E49" s="85"/>
      <c r="F49" s="85"/>
      <c r="G49" s="96"/>
      <c r="H49" s="96"/>
      <c r="I49" s="88"/>
    </row>
    <row r="50" spans="2:10" x14ac:dyDescent="0.2">
      <c r="B50" s="94"/>
      <c r="C50" s="95" t="s">
        <v>37</v>
      </c>
      <c r="D50" s="84"/>
      <c r="E50" s="85"/>
      <c r="F50" s="85">
        <f>+[3]IYE!Y56+[3]IYE!Y57+[3]IYE!Y58+[3]IYE!Y59+[3]IYE!Y74</f>
        <v>3924931.32</v>
      </c>
      <c r="G50" s="96"/>
      <c r="H50" s="96">
        <f>+F50+[1]Patronato!$G$50</f>
        <v>47131486.499999993</v>
      </c>
      <c r="I50" s="88"/>
    </row>
    <row r="51" spans="2:10" x14ac:dyDescent="0.2">
      <c r="B51" s="94"/>
      <c r="C51" s="95" t="s">
        <v>38</v>
      </c>
      <c r="D51" s="84"/>
      <c r="E51" s="85"/>
      <c r="F51" s="85">
        <f>+[3]IYE!Y53+[3]IYE!Y54+[3]IYE!Y73</f>
        <v>1044929.2</v>
      </c>
      <c r="G51" s="96"/>
      <c r="H51" s="96">
        <f>+F51+[1]Patronato!$G$51</f>
        <v>36962250.939999998</v>
      </c>
      <c r="I51" s="88"/>
    </row>
    <row r="52" spans="2:10" x14ac:dyDescent="0.2">
      <c r="B52" s="94"/>
      <c r="C52" s="95" t="s">
        <v>39</v>
      </c>
      <c r="D52" s="84"/>
      <c r="E52" s="85"/>
      <c r="F52" s="97">
        <f>+[3]IYE!Y51+[3]IYE!Y52+[3]IYE!Y55+[3]IYE!Y60+[3]IYE!Y61+[3]IYE!Y75</f>
        <v>3456.7</v>
      </c>
      <c r="G52" s="96"/>
      <c r="H52" s="98">
        <f>+F52+[1]Patronato!$G$52</f>
        <v>4499557.07</v>
      </c>
      <c r="I52" s="88"/>
    </row>
    <row r="53" spans="2:10" ht="15.75" x14ac:dyDescent="0.25">
      <c r="B53" s="99"/>
      <c r="C53" s="100" t="s">
        <v>40</v>
      </c>
      <c r="D53" s="84"/>
      <c r="E53" s="85"/>
      <c r="F53" s="101">
        <f>SUM(F50:F52)</f>
        <v>4973317.22</v>
      </c>
      <c r="G53" s="96"/>
      <c r="H53" s="102">
        <f>SUM(H50:H52)</f>
        <v>88593294.50999999</v>
      </c>
      <c r="I53" s="88"/>
    </row>
    <row r="54" spans="2:10" x14ac:dyDescent="0.2">
      <c r="B54" s="83"/>
      <c r="C54" s="84"/>
      <c r="D54" s="84"/>
      <c r="E54" s="85"/>
      <c r="F54" s="85"/>
      <c r="G54" s="96"/>
      <c r="H54" s="96"/>
      <c r="I54" s="88"/>
    </row>
    <row r="55" spans="2:10" ht="15.75" x14ac:dyDescent="0.25">
      <c r="B55" s="83"/>
      <c r="C55" s="84"/>
      <c r="D55" s="100" t="s">
        <v>41</v>
      </c>
      <c r="E55" s="85"/>
      <c r="F55" s="97">
        <f>+F45+F53</f>
        <v>165823317.92999998</v>
      </c>
      <c r="G55" s="96"/>
      <c r="H55" s="98">
        <f>+H45+H53+1</f>
        <v>1341123288.0599999</v>
      </c>
      <c r="I55" s="88"/>
    </row>
    <row r="56" spans="2:10" x14ac:dyDescent="0.2">
      <c r="B56" s="83"/>
      <c r="C56" s="84"/>
      <c r="D56" s="84"/>
      <c r="E56" s="85"/>
      <c r="F56" s="85"/>
      <c r="G56" s="96"/>
      <c r="H56" s="96"/>
      <c r="I56" s="88"/>
    </row>
    <row r="57" spans="2:10" ht="15.75" x14ac:dyDescent="0.25">
      <c r="B57" s="99"/>
      <c r="C57" s="103" t="s">
        <v>75</v>
      </c>
      <c r="D57" s="100"/>
      <c r="E57" s="104"/>
      <c r="F57" s="105">
        <f>+F36-F55</f>
        <v>44393427.800000042</v>
      </c>
      <c r="G57" s="106"/>
      <c r="H57" s="106">
        <f>+H36-H55</f>
        <v>151876229.74000001</v>
      </c>
      <c r="I57" s="107"/>
      <c r="J57" s="93"/>
    </row>
    <row r="58" spans="2:10" x14ac:dyDescent="0.2">
      <c r="B58" s="83"/>
      <c r="C58" s="84"/>
      <c r="D58" s="84"/>
      <c r="E58" s="85"/>
      <c r="F58" s="85"/>
      <c r="G58" s="96"/>
      <c r="H58" s="96"/>
      <c r="I58" s="88"/>
    </row>
    <row r="59" spans="2:10" x14ac:dyDescent="0.2">
      <c r="B59" s="83"/>
      <c r="C59" s="84"/>
      <c r="D59" s="84"/>
      <c r="E59" s="85"/>
      <c r="F59" s="85"/>
      <c r="G59" s="96"/>
      <c r="H59" s="96"/>
      <c r="I59" s="88"/>
    </row>
    <row r="60" spans="2:10" ht="15.75" x14ac:dyDescent="0.25">
      <c r="B60" s="99"/>
      <c r="C60" s="100" t="s">
        <v>43</v>
      </c>
      <c r="D60" s="84"/>
      <c r="E60" s="85"/>
      <c r="F60" s="85"/>
      <c r="G60" s="96"/>
      <c r="H60" s="96"/>
      <c r="I60" s="88"/>
    </row>
    <row r="61" spans="2:10" x14ac:dyDescent="0.2">
      <c r="B61" s="83"/>
      <c r="C61" s="84"/>
      <c r="D61" s="95" t="s">
        <v>44</v>
      </c>
      <c r="E61" s="30">
        <v>32474247.359999999</v>
      </c>
      <c r="F61" s="85"/>
      <c r="G61" s="31">
        <v>156380165.11000001</v>
      </c>
      <c r="H61" s="108"/>
      <c r="I61" s="88"/>
    </row>
    <row r="62" spans="2:10" x14ac:dyDescent="0.2">
      <c r="B62" s="83"/>
      <c r="C62" s="84"/>
      <c r="D62" s="95" t="s">
        <v>45</v>
      </c>
      <c r="E62" s="30">
        <f>31704071.24+1</f>
        <v>31704072.239999998</v>
      </c>
      <c r="F62" s="85"/>
      <c r="G62" s="31">
        <v>49373041.829999998</v>
      </c>
      <c r="H62" s="108"/>
      <c r="I62" s="88"/>
    </row>
    <row r="63" spans="2:10" x14ac:dyDescent="0.2">
      <c r="B63" s="83"/>
      <c r="C63" s="84"/>
      <c r="D63" s="95" t="s">
        <v>46</v>
      </c>
      <c r="E63" s="30">
        <f>-19784890.26-1</f>
        <v>-19784891.260000002</v>
      </c>
      <c r="F63" s="85"/>
      <c r="G63" s="31">
        <v>-54493909.43</v>
      </c>
      <c r="H63" s="108"/>
      <c r="I63" s="88"/>
    </row>
    <row r="64" spans="2:10" ht="15.75" x14ac:dyDescent="0.25">
      <c r="B64" s="83"/>
      <c r="C64" s="84"/>
      <c r="D64" s="95" t="s">
        <v>47</v>
      </c>
      <c r="E64" s="38">
        <f>+[3]BALCOM!N40+[3]BALCOM!N41</f>
        <v>0.21000003814697266</v>
      </c>
      <c r="F64" s="109">
        <f>+E61+E62+E63+E64-1</f>
        <v>44393427.550000027</v>
      </c>
      <c r="G64" s="40">
        <f>+[2]Patronato!$F$64+E6-1</f>
        <v>616931.86999988556</v>
      </c>
      <c r="H64" s="110">
        <f>+G61+G62+G63+G64+1</f>
        <v>151876230.37999988</v>
      </c>
      <c r="I64" s="88"/>
    </row>
    <row r="65" spans="2:10" ht="15.75" thickBot="1" x14ac:dyDescent="0.25">
      <c r="B65" s="111"/>
      <c r="C65" s="112"/>
      <c r="D65" s="112"/>
      <c r="E65" s="113"/>
      <c r="F65" s="113"/>
      <c r="G65" s="113"/>
      <c r="H65" s="113"/>
      <c r="I65" s="114"/>
    </row>
    <row r="66" spans="2:10" ht="15.75" x14ac:dyDescent="0.25">
      <c r="B66" s="99"/>
      <c r="C66" s="100" t="s">
        <v>48</v>
      </c>
      <c r="D66" s="84"/>
      <c r="E66" s="85"/>
      <c r="F66" s="85"/>
      <c r="G66" s="85"/>
      <c r="H66" s="85"/>
      <c r="I66" s="88"/>
    </row>
    <row r="67" spans="2:10" ht="15.75" x14ac:dyDescent="0.25">
      <c r="B67" s="99"/>
      <c r="C67" s="100"/>
      <c r="D67" s="100"/>
      <c r="E67" s="115" t="s">
        <v>73</v>
      </c>
      <c r="F67" s="115"/>
      <c r="G67" s="115" t="s">
        <v>49</v>
      </c>
      <c r="H67" s="115"/>
      <c r="I67" s="116"/>
      <c r="J67" s="93"/>
    </row>
    <row r="68" spans="2:10" x14ac:dyDescent="0.2">
      <c r="B68" s="83"/>
      <c r="C68" s="84"/>
      <c r="D68" s="84"/>
      <c r="E68" s="96"/>
      <c r="F68" s="96"/>
      <c r="G68" s="96"/>
      <c r="H68" s="96"/>
      <c r="I68" s="88"/>
    </row>
    <row r="69" spans="2:10" x14ac:dyDescent="0.2">
      <c r="B69" s="94"/>
      <c r="C69" s="95" t="s">
        <v>51</v>
      </c>
      <c r="D69" s="84"/>
      <c r="E69" s="96"/>
      <c r="F69" s="96">
        <f>+[1]Patronato!G69</f>
        <v>231128.93</v>
      </c>
      <c r="G69" s="96"/>
      <c r="H69" s="96">
        <f>+[3]CAJA!G33</f>
        <v>231128.93</v>
      </c>
      <c r="I69" s="88"/>
    </row>
    <row r="70" spans="2:10" x14ac:dyDescent="0.2">
      <c r="B70" s="94"/>
      <c r="C70" s="95" t="s">
        <v>52</v>
      </c>
      <c r="D70" s="84"/>
      <c r="E70" s="96"/>
      <c r="F70" s="96">
        <f>+[1]Patronato!G70</f>
        <v>165352.18</v>
      </c>
      <c r="G70" s="96"/>
      <c r="H70" s="96">
        <f>+[3]CAJA!G31</f>
        <v>153950.79999999999</v>
      </c>
      <c r="I70" s="88"/>
    </row>
    <row r="71" spans="2:10" x14ac:dyDescent="0.2">
      <c r="B71" s="94"/>
      <c r="C71" s="95" t="s">
        <v>53</v>
      </c>
      <c r="D71" s="84"/>
      <c r="E71" s="96"/>
      <c r="F71" s="96">
        <f>+[1]Patronato!G71</f>
        <v>46047283.480000004</v>
      </c>
      <c r="G71" s="96"/>
      <c r="H71" s="96">
        <f>+[3]CAJA!G37</f>
        <v>90910324.269999996</v>
      </c>
      <c r="I71" s="88"/>
    </row>
    <row r="72" spans="2:10" x14ac:dyDescent="0.2">
      <c r="B72" s="94"/>
      <c r="C72" s="95" t="s">
        <v>54</v>
      </c>
      <c r="D72" s="84"/>
      <c r="E72" s="96"/>
      <c r="F72" s="96">
        <f>+[1]Patronato!G72</f>
        <v>44454646.130000003</v>
      </c>
      <c r="G72" s="96"/>
      <c r="H72" s="96">
        <f>+[3]CAJA!G35</f>
        <v>35727210.07</v>
      </c>
      <c r="I72" s="88"/>
    </row>
    <row r="73" spans="2:10" ht="15.75" x14ac:dyDescent="0.25">
      <c r="B73" s="99"/>
      <c r="C73" s="100" t="s">
        <v>55</v>
      </c>
      <c r="D73" s="100"/>
      <c r="E73" s="115"/>
      <c r="F73" s="115"/>
      <c r="G73" s="115"/>
      <c r="H73" s="115"/>
      <c r="I73" s="116"/>
      <c r="J73" s="93"/>
    </row>
    <row r="74" spans="2:10" x14ac:dyDescent="0.2">
      <c r="B74" s="94"/>
      <c r="C74" s="95" t="s">
        <v>56</v>
      </c>
      <c r="D74" s="84"/>
      <c r="E74" s="96">
        <f>+[1]Patronato!F74</f>
        <v>14560395.27</v>
      </c>
      <c r="F74" s="96"/>
      <c r="G74" s="96">
        <f>+[3]CUSTODIA!M64</f>
        <v>10822280</v>
      </c>
      <c r="H74" s="96"/>
      <c r="I74" s="88"/>
    </row>
    <row r="75" spans="2:10" x14ac:dyDescent="0.2">
      <c r="B75" s="94"/>
      <c r="C75" s="95" t="s">
        <v>57</v>
      </c>
      <c r="D75" s="84"/>
      <c r="E75" s="96">
        <f>+[1]Patronato!F75</f>
        <v>18213137.039999999</v>
      </c>
      <c r="F75" s="96"/>
      <c r="G75" s="96">
        <f>+[3]CUSTODIA!M68</f>
        <v>16376619.92</v>
      </c>
      <c r="H75" s="96"/>
      <c r="I75" s="88"/>
    </row>
    <row r="76" spans="2:10" x14ac:dyDescent="0.2">
      <c r="B76" s="94"/>
      <c r="C76" s="95" t="s">
        <v>58</v>
      </c>
      <c r="D76" s="84"/>
      <c r="E76" s="96">
        <f>+[1]Patronato!F76</f>
        <v>116037.55</v>
      </c>
      <c r="F76" s="96"/>
      <c r="G76" s="96">
        <f>+[3]CUSTODIA!M66</f>
        <v>116037.55</v>
      </c>
      <c r="H76" s="96"/>
      <c r="I76" s="88"/>
    </row>
    <row r="77" spans="2:10" x14ac:dyDescent="0.2">
      <c r="B77" s="94"/>
      <c r="C77" s="95" t="s">
        <v>22</v>
      </c>
      <c r="D77" s="84"/>
      <c r="E77" s="96">
        <f>+[1]Patronato!F77</f>
        <v>4701726.5299999993</v>
      </c>
      <c r="F77" s="96"/>
      <c r="G77" s="96">
        <f>+[3]CUSTODIA!M62</f>
        <v>6385663.0300000003</v>
      </c>
      <c r="H77" s="96"/>
      <c r="I77" s="88"/>
    </row>
    <row r="78" spans="2:10" x14ac:dyDescent="0.2">
      <c r="B78" s="94"/>
      <c r="C78" s="95" t="s">
        <v>59</v>
      </c>
      <c r="D78" s="84"/>
      <c r="E78" s="96">
        <f>+[1]Patronato!F78</f>
        <v>54287008.589999996</v>
      </c>
      <c r="F78" s="96"/>
      <c r="G78" s="96">
        <f>+[3]CUSTODIA!M72</f>
        <v>54476941.390000001</v>
      </c>
      <c r="H78" s="96"/>
      <c r="I78" s="88"/>
    </row>
    <row r="79" spans="2:10" ht="15.75" x14ac:dyDescent="0.25">
      <c r="B79" s="94"/>
      <c r="C79" s="95" t="s">
        <v>60</v>
      </c>
      <c r="D79" s="84"/>
      <c r="E79" s="98">
        <f>+[1]Patronato!$F$79</f>
        <v>14669804.270000001</v>
      </c>
      <c r="F79" s="98">
        <f>+E74+E75+E76+E77+E78+E79+1</f>
        <v>106548110.24999999</v>
      </c>
      <c r="G79" s="98">
        <f>+[3]CUSTODIA!M70</f>
        <v>14720611.369999999</v>
      </c>
      <c r="H79" s="98">
        <f>+G74+G75+G76+G77+G78+G79</f>
        <v>102898153.26000001</v>
      </c>
      <c r="I79" s="88"/>
      <c r="J79" s="93"/>
    </row>
    <row r="80" spans="2:10" ht="15.75" x14ac:dyDescent="0.25">
      <c r="B80" s="99"/>
      <c r="C80" s="100" t="s">
        <v>61</v>
      </c>
      <c r="D80" s="100"/>
      <c r="E80" s="115"/>
      <c r="F80" s="96">
        <f>+F69+F70+F71+F72+F79-1</f>
        <v>197446519.96999997</v>
      </c>
      <c r="G80" s="115"/>
      <c r="H80" s="96">
        <f>SUM(H69:H79)</f>
        <v>229920767.32999998</v>
      </c>
      <c r="I80" s="116"/>
      <c r="J80" s="93"/>
    </row>
    <row r="81" spans="2:10" ht="16.5" thickBot="1" x14ac:dyDescent="0.3">
      <c r="B81" s="99"/>
      <c r="C81" s="100"/>
      <c r="D81" s="100"/>
      <c r="E81" s="104"/>
      <c r="F81" s="104"/>
      <c r="G81" s="115"/>
      <c r="H81" s="96"/>
      <c r="I81" s="116"/>
      <c r="J81" s="117"/>
    </row>
    <row r="82" spans="2:10" ht="12.75" x14ac:dyDescent="0.2">
      <c r="B82" s="118"/>
      <c r="C82" s="119"/>
      <c r="D82" s="119"/>
      <c r="E82" s="120"/>
      <c r="F82" s="120"/>
      <c r="G82" s="120"/>
      <c r="H82" s="120"/>
      <c r="I82" s="121"/>
      <c r="J82" s="117"/>
    </row>
    <row r="83" spans="2:10" ht="12.75" x14ac:dyDescent="0.2">
      <c r="B83" s="122"/>
      <c r="C83" s="123"/>
      <c r="D83" s="123"/>
      <c r="E83" s="124"/>
      <c r="F83" s="124"/>
      <c r="G83" s="124"/>
      <c r="H83" s="124"/>
      <c r="I83" s="125"/>
      <c r="J83" s="117"/>
    </row>
    <row r="84" spans="2:10" ht="12.75" x14ac:dyDescent="0.2">
      <c r="B84" s="122"/>
      <c r="C84" s="123"/>
      <c r="D84" s="123"/>
      <c r="E84" s="124"/>
      <c r="F84" s="124"/>
      <c r="G84" s="124"/>
      <c r="H84" s="124"/>
      <c r="I84" s="125"/>
      <c r="J84" s="117"/>
    </row>
    <row r="85" spans="2:10" ht="12.75" x14ac:dyDescent="0.2">
      <c r="B85" s="122"/>
      <c r="C85" s="123"/>
      <c r="D85" s="123"/>
      <c r="E85" s="124"/>
      <c r="F85" s="124"/>
      <c r="G85" s="124"/>
      <c r="H85" s="124"/>
      <c r="I85" s="125"/>
      <c r="J85" s="126"/>
    </row>
    <row r="86" spans="2:10" ht="12.75" x14ac:dyDescent="0.2">
      <c r="B86" s="127" t="s">
        <v>62</v>
      </c>
      <c r="C86" s="128"/>
      <c r="D86" s="129"/>
      <c r="E86" s="130" t="s">
        <v>63</v>
      </c>
      <c r="F86" s="131"/>
      <c r="G86" s="132" t="s">
        <v>64</v>
      </c>
      <c r="H86" s="131"/>
      <c r="I86" s="133" t="s">
        <v>65</v>
      </c>
      <c r="J86" s="126"/>
    </row>
    <row r="87" spans="2:10" ht="12.75" x14ac:dyDescent="0.2">
      <c r="B87" s="134"/>
      <c r="C87" s="135" t="s">
        <v>66</v>
      </c>
      <c r="D87" s="136" t="s">
        <v>67</v>
      </c>
      <c r="E87" s="136"/>
      <c r="F87" s="131"/>
      <c r="G87" s="132" t="s">
        <v>68</v>
      </c>
      <c r="H87" s="131"/>
      <c r="I87" s="133" t="s">
        <v>69</v>
      </c>
      <c r="J87" s="117"/>
    </row>
    <row r="88" spans="2:10" ht="15.75" thickBot="1" x14ac:dyDescent="0.25">
      <c r="B88" s="137"/>
      <c r="C88" s="138"/>
      <c r="D88" s="138"/>
      <c r="E88" s="139"/>
      <c r="F88" s="139"/>
      <c r="G88" s="139"/>
      <c r="H88" s="139"/>
      <c r="I88" s="140"/>
    </row>
    <row r="89" spans="2:10" x14ac:dyDescent="0.2">
      <c r="E89" s="141"/>
    </row>
  </sheetData>
  <pageMargins left="0.75" right="0.75" top="1" bottom="0.72" header="0" footer="0"/>
  <pageSetup scale="51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 sizeWithCells="1">
              <from>
                <xdr:col>2</xdr:col>
                <xdr:colOff>0</xdr:colOff>
                <xdr:row>1</xdr:row>
                <xdr:rowOff>66675</xdr:rowOff>
              </from>
              <to>
                <xdr:col>3</xdr:col>
                <xdr:colOff>685800</xdr:colOff>
                <xdr:row>5</xdr:row>
                <xdr:rowOff>180975</xdr:rowOff>
              </to>
            </anchor>
          </objectPr>
        </oleObject>
      </mc:Choice>
      <mc:Fallback>
        <oleObject progId="PBrush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89"/>
  <sheetViews>
    <sheetView tabSelected="1" topLeftCell="A46" zoomScale="80" zoomScaleNormal="80" workbookViewId="0">
      <selection activeCell="F72" sqref="F72"/>
    </sheetView>
  </sheetViews>
  <sheetFormatPr baseColWidth="10" defaultColWidth="11.42578125" defaultRowHeight="15" x14ac:dyDescent="0.2"/>
  <cols>
    <col min="1" max="1" width="2.85546875" customWidth="1"/>
    <col min="2" max="2" width="15" style="1" customWidth="1"/>
    <col min="3" max="3" width="5.140625" style="1" customWidth="1"/>
    <col min="4" max="4" width="33.28515625" style="1" customWidth="1"/>
    <col min="5" max="5" width="24.7109375" style="2" customWidth="1"/>
    <col min="6" max="6" width="20" style="2" customWidth="1"/>
    <col min="7" max="7" width="18.7109375" style="2" customWidth="1"/>
    <col min="8" max="8" width="19.140625" style="2" customWidth="1"/>
    <col min="9" max="9" width="27.7109375" style="1" customWidth="1"/>
    <col min="10" max="10" width="14.5703125" style="3" bestFit="1" customWidth="1"/>
    <col min="11" max="11" width="12" customWidth="1"/>
  </cols>
  <sheetData>
    <row r="1" spans="2:10" ht="15.75" thickBot="1" x14ac:dyDescent="0.25"/>
    <row r="2" spans="2:10" ht="20.25" x14ac:dyDescent="0.3">
      <c r="B2" s="4"/>
      <c r="C2" s="5"/>
      <c r="D2" s="5"/>
      <c r="E2" s="6"/>
      <c r="F2" s="7"/>
      <c r="G2" s="8"/>
      <c r="H2" s="6"/>
      <c r="I2" s="9"/>
    </row>
    <row r="3" spans="2:10" ht="21.75" x14ac:dyDescent="0.3">
      <c r="B3" s="10"/>
      <c r="C3" s="11"/>
      <c r="D3" s="11"/>
      <c r="E3" s="12"/>
      <c r="F3" s="13" t="s">
        <v>0</v>
      </c>
      <c r="G3" s="14"/>
      <c r="H3" s="12"/>
      <c r="I3" s="15"/>
    </row>
    <row r="4" spans="2:10" ht="21.75" x14ac:dyDescent="0.3">
      <c r="B4" s="10"/>
      <c r="C4" s="11"/>
      <c r="D4" s="11"/>
      <c r="E4" s="12"/>
      <c r="F4" s="13" t="s">
        <v>1</v>
      </c>
      <c r="G4" s="14"/>
      <c r="H4" s="12"/>
      <c r="I4" s="15"/>
    </row>
    <row r="5" spans="2:10" ht="21.75" x14ac:dyDescent="0.3">
      <c r="B5" s="10"/>
      <c r="C5" s="11"/>
      <c r="D5" s="11"/>
      <c r="E5" s="12"/>
      <c r="F5" s="13" t="s">
        <v>2</v>
      </c>
      <c r="G5" s="14"/>
      <c r="H5" s="12"/>
      <c r="I5" s="15"/>
    </row>
    <row r="6" spans="2:10" ht="15.75" thickBot="1" x14ac:dyDescent="0.25">
      <c r="B6" s="10"/>
      <c r="C6" s="11"/>
      <c r="D6" s="11"/>
      <c r="E6" s="12"/>
      <c r="F6" s="12"/>
      <c r="G6" s="12"/>
      <c r="H6" s="12"/>
      <c r="I6" s="15"/>
    </row>
    <row r="7" spans="2:10" ht="15.75" x14ac:dyDescent="0.25">
      <c r="B7" s="16"/>
      <c r="C7" s="17" t="s">
        <v>3</v>
      </c>
      <c r="D7" s="17"/>
      <c r="E7" s="18"/>
      <c r="F7" s="8" t="s">
        <v>4</v>
      </c>
      <c r="G7" s="8"/>
      <c r="H7" s="8" t="s">
        <v>5</v>
      </c>
      <c r="I7" s="19"/>
      <c r="J7" s="20"/>
    </row>
    <row r="8" spans="2:10" x14ac:dyDescent="0.2">
      <c r="B8" s="10"/>
      <c r="C8" s="11"/>
      <c r="D8" s="11"/>
      <c r="E8" s="12"/>
      <c r="F8" s="12"/>
      <c r="G8" s="12"/>
      <c r="H8" s="12"/>
      <c r="I8" s="15"/>
    </row>
    <row r="9" spans="2:10" x14ac:dyDescent="0.2">
      <c r="B9" s="21"/>
      <c r="C9" s="22" t="s">
        <v>6</v>
      </c>
      <c r="D9" s="11"/>
      <c r="E9" s="12"/>
      <c r="F9" s="12">
        <f>+[4]IYE!AA6</f>
        <v>64895958</v>
      </c>
      <c r="G9" s="23"/>
      <c r="H9" s="23">
        <f>+F9+[3]Patronato!$H$9</f>
        <v>692713157</v>
      </c>
      <c r="I9" s="15"/>
    </row>
    <row r="10" spans="2:10" x14ac:dyDescent="0.2">
      <c r="B10" s="21"/>
      <c r="C10" s="22" t="s">
        <v>7</v>
      </c>
      <c r="D10" s="11"/>
      <c r="E10" s="12"/>
      <c r="F10" s="24">
        <f>+[4]IYE!AA7+[4]IYE!AA8</f>
        <v>36982135</v>
      </c>
      <c r="G10" s="23"/>
      <c r="H10" s="25">
        <f>+F10+[3]Patronato!$H$10</f>
        <v>436638224</v>
      </c>
      <c r="I10" s="15"/>
    </row>
    <row r="11" spans="2:10" ht="15.75" x14ac:dyDescent="0.25">
      <c r="B11" s="26"/>
      <c r="C11" s="27" t="s">
        <v>8</v>
      </c>
      <c r="D11" s="11"/>
      <c r="E11" s="12"/>
      <c r="F11" s="12">
        <f>SUM(F9:F10)</f>
        <v>101878093</v>
      </c>
      <c r="G11" s="23"/>
      <c r="H11" s="23">
        <f>SUM(H9:H10)</f>
        <v>1129351381</v>
      </c>
      <c r="I11" s="15"/>
    </row>
    <row r="12" spans="2:10" x14ac:dyDescent="0.2">
      <c r="B12" s="10"/>
      <c r="C12" s="11"/>
      <c r="D12" s="11"/>
      <c r="E12" s="12"/>
      <c r="F12" s="12"/>
      <c r="G12" s="23"/>
      <c r="H12" s="23"/>
      <c r="I12" s="15"/>
    </row>
    <row r="13" spans="2:10" ht="15.75" x14ac:dyDescent="0.25">
      <c r="B13" s="26"/>
      <c r="C13" s="27" t="s">
        <v>9</v>
      </c>
      <c r="D13" s="11"/>
      <c r="E13" s="12"/>
      <c r="F13" s="12"/>
      <c r="G13" s="23"/>
      <c r="H13" s="23"/>
      <c r="I13" s="15"/>
    </row>
    <row r="14" spans="2:10" x14ac:dyDescent="0.2">
      <c r="B14" s="10"/>
      <c r="C14" s="11"/>
      <c r="D14" s="11"/>
      <c r="E14" s="12"/>
      <c r="F14" s="12"/>
      <c r="G14" s="23"/>
      <c r="H14" s="23"/>
      <c r="I14" s="15"/>
    </row>
    <row r="15" spans="2:10" x14ac:dyDescent="0.2">
      <c r="B15" s="21"/>
      <c r="C15" s="22" t="s">
        <v>10</v>
      </c>
      <c r="D15" s="11"/>
      <c r="E15" s="12"/>
      <c r="F15" s="12">
        <f>+[4]IYE!AA16</f>
        <v>2454669.9900000002</v>
      </c>
      <c r="G15" s="23"/>
      <c r="H15" s="23">
        <f>+F15+[3]Patronato!$H$15</f>
        <v>199391112.39000002</v>
      </c>
      <c r="I15" s="15"/>
    </row>
    <row r="16" spans="2:10" x14ac:dyDescent="0.2">
      <c r="B16" s="21"/>
      <c r="C16" s="22" t="s">
        <v>11</v>
      </c>
      <c r="D16" s="11"/>
      <c r="E16" s="12"/>
      <c r="F16" s="12">
        <f>+[4]IYE!AA15</f>
        <v>5671907.6699999999</v>
      </c>
      <c r="G16" s="23"/>
      <c r="H16" s="23">
        <f>+F16+[3]Patronato!$H$16-1</f>
        <v>94555765.50999999</v>
      </c>
      <c r="I16" s="15"/>
    </row>
    <row r="17" spans="2:9" x14ac:dyDescent="0.2">
      <c r="B17" s="21"/>
      <c r="C17" s="22" t="s">
        <v>12</v>
      </c>
      <c r="D17" s="11"/>
      <c r="E17" s="12"/>
      <c r="F17" s="24">
        <f>+[4]IYE!AA18</f>
        <v>1109546</v>
      </c>
      <c r="G17" s="23"/>
      <c r="H17" s="25">
        <f>+F17+[3]Patronato!$H$17</f>
        <v>8680522</v>
      </c>
      <c r="I17" s="15"/>
    </row>
    <row r="18" spans="2:9" ht="15.75" x14ac:dyDescent="0.25">
      <c r="B18" s="26"/>
      <c r="C18" s="27" t="s">
        <v>13</v>
      </c>
      <c r="D18" s="11"/>
      <c r="E18" s="12"/>
      <c r="F18" s="12">
        <f>SUM(F15:F17)</f>
        <v>9236123.6600000001</v>
      </c>
      <c r="G18" s="23"/>
      <c r="H18" s="23">
        <f>SUM(H15:H17)</f>
        <v>302627399.89999998</v>
      </c>
      <c r="I18" s="15"/>
    </row>
    <row r="19" spans="2:9" x14ac:dyDescent="0.2">
      <c r="B19" s="10"/>
      <c r="C19" s="11"/>
      <c r="D19" s="11"/>
      <c r="E19" s="12"/>
      <c r="F19" s="12"/>
      <c r="G19" s="23"/>
      <c r="H19" s="23"/>
      <c r="I19" s="15"/>
    </row>
    <row r="20" spans="2:9" ht="15.75" x14ac:dyDescent="0.25">
      <c r="B20" s="26"/>
      <c r="C20" s="27" t="s">
        <v>14</v>
      </c>
      <c r="D20" s="11"/>
      <c r="E20" s="12"/>
      <c r="F20" s="12"/>
      <c r="G20" s="23"/>
      <c r="H20" s="23"/>
      <c r="I20" s="15"/>
    </row>
    <row r="21" spans="2:9" x14ac:dyDescent="0.2">
      <c r="B21" s="10"/>
      <c r="C21" s="11"/>
      <c r="D21" s="11"/>
      <c r="E21" s="12"/>
      <c r="F21" s="12"/>
      <c r="G21" s="23"/>
      <c r="H21" s="23"/>
      <c r="I21" s="15"/>
    </row>
    <row r="22" spans="2:9" x14ac:dyDescent="0.2">
      <c r="B22" s="21"/>
      <c r="C22" s="22" t="s">
        <v>15</v>
      </c>
      <c r="D22" s="11"/>
      <c r="E22" s="12"/>
      <c r="F22" s="12">
        <f>+[4]IYE!AA17</f>
        <v>4536826.1899999995</v>
      </c>
      <c r="G22" s="23"/>
      <c r="H22" s="23">
        <f>+F22+[3]Patronato!$H$22</f>
        <v>86201461.269999996</v>
      </c>
      <c r="I22" s="15"/>
    </row>
    <row r="23" spans="2:9" x14ac:dyDescent="0.2">
      <c r="B23" s="21"/>
      <c r="C23" s="22" t="s">
        <v>16</v>
      </c>
      <c r="D23" s="11"/>
      <c r="E23" s="12"/>
      <c r="F23" s="12">
        <f>+[4]IYE!AA21</f>
        <v>303915.64</v>
      </c>
      <c r="G23" s="23"/>
      <c r="H23" s="23">
        <f>+F23+[3]Patronato!$H$23</f>
        <v>4020491.58</v>
      </c>
      <c r="I23" s="15"/>
    </row>
    <row r="24" spans="2:9" x14ac:dyDescent="0.2">
      <c r="B24" s="21"/>
      <c r="C24" s="22" t="s">
        <v>17</v>
      </c>
      <c r="D24" s="11"/>
      <c r="E24" s="12"/>
      <c r="F24" s="12">
        <v>138574</v>
      </c>
      <c r="G24" s="23"/>
      <c r="H24" s="23">
        <f>+F24+[3]Patronato!$H$24</f>
        <v>1182301</v>
      </c>
      <c r="I24" s="15"/>
    </row>
    <row r="25" spans="2:9" x14ac:dyDescent="0.2">
      <c r="B25" s="21"/>
      <c r="C25" s="22" t="s">
        <v>18</v>
      </c>
      <c r="D25" s="11"/>
      <c r="E25" s="12"/>
      <c r="F25" s="12">
        <f>701336.51</f>
        <v>701336.51</v>
      </c>
      <c r="G25" s="23"/>
      <c r="H25" s="23">
        <f>+F25+[3]Patronato!$H$25</f>
        <v>3638916.9300000006</v>
      </c>
      <c r="I25" s="15"/>
    </row>
    <row r="26" spans="2:9" x14ac:dyDescent="0.2">
      <c r="B26" s="21"/>
      <c r="C26" s="22" t="s">
        <v>19</v>
      </c>
      <c r="D26" s="11"/>
      <c r="E26" s="12"/>
      <c r="F26" s="23">
        <f>21558468.38-8526116</f>
        <v>13032352.379999999</v>
      </c>
      <c r="G26" s="23"/>
      <c r="H26" s="23">
        <f>+F26+[3]Patronato!$H$26</f>
        <v>57756237.700000003</v>
      </c>
      <c r="I26" s="15"/>
    </row>
    <row r="27" spans="2:9" x14ac:dyDescent="0.2">
      <c r="B27" s="21"/>
      <c r="C27" s="22" t="s">
        <v>20</v>
      </c>
      <c r="D27" s="11"/>
      <c r="E27" s="12"/>
      <c r="F27" s="12">
        <f>+[4]IYE!AA22</f>
        <v>1553550.97</v>
      </c>
      <c r="G27" s="23"/>
      <c r="H27" s="23">
        <f>+F27+[3]Patronato!$H$27</f>
        <v>7710783.8999999994</v>
      </c>
      <c r="I27" s="15"/>
    </row>
    <row r="28" spans="2:9" x14ac:dyDescent="0.2">
      <c r="B28" s="21"/>
      <c r="C28" s="22" t="s">
        <v>21</v>
      </c>
      <c r="D28" s="11"/>
      <c r="E28" s="12"/>
      <c r="F28" s="12">
        <f>+[4]IYE!AA20</f>
        <v>667362.51</v>
      </c>
      <c r="G28" s="23"/>
      <c r="H28" s="23">
        <f>+F28+[3]Patronato!$H$28-1</f>
        <v>26163994.600000001</v>
      </c>
      <c r="I28" s="15"/>
    </row>
    <row r="29" spans="2:9" x14ac:dyDescent="0.2">
      <c r="B29" s="21"/>
      <c r="C29" s="22" t="s">
        <v>22</v>
      </c>
      <c r="D29" s="11"/>
      <c r="E29" s="12"/>
      <c r="F29" s="24">
        <f>+[4]IYE!AA14</f>
        <v>9197859.1999999993</v>
      </c>
      <c r="G29" s="23"/>
      <c r="H29" s="23">
        <f>+F29+[3]Patronato!$H$29-1</f>
        <v>73081745.940000013</v>
      </c>
      <c r="I29" s="15"/>
    </row>
    <row r="30" spans="2:9" ht="15.75" x14ac:dyDescent="0.25">
      <c r="B30" s="26"/>
      <c r="C30" s="27" t="s">
        <v>23</v>
      </c>
      <c r="D30" s="11"/>
      <c r="E30" s="12"/>
      <c r="F30" s="28">
        <f>SUM(F22:F29)+1</f>
        <v>30131778.399999999</v>
      </c>
      <c r="G30" s="23"/>
      <c r="H30" s="29">
        <f>SUM(H22:H29)+1</f>
        <v>259755933.92000002</v>
      </c>
      <c r="I30" s="15"/>
    </row>
    <row r="31" spans="2:9" x14ac:dyDescent="0.2">
      <c r="B31" s="10"/>
      <c r="C31" s="11"/>
      <c r="D31" s="11"/>
      <c r="E31" s="12"/>
      <c r="F31" s="12"/>
      <c r="G31" s="23"/>
      <c r="H31" s="23"/>
      <c r="I31" s="15"/>
    </row>
    <row r="32" spans="2:9" ht="15.75" x14ac:dyDescent="0.25">
      <c r="B32" s="10"/>
      <c r="C32" s="11"/>
      <c r="D32" s="27" t="s">
        <v>24</v>
      </c>
      <c r="E32" s="12"/>
      <c r="F32" s="12">
        <f>+F11+F18+F30</f>
        <v>141245995.06</v>
      </c>
      <c r="G32" s="23"/>
      <c r="H32" s="23">
        <f>+H11+H18+H30</f>
        <v>1691734714.8200002</v>
      </c>
      <c r="I32" s="15"/>
    </row>
    <row r="33" spans="2:9" x14ac:dyDescent="0.2">
      <c r="B33" s="10"/>
      <c r="C33" s="11"/>
      <c r="D33" s="11"/>
      <c r="E33" s="12"/>
      <c r="F33" s="12"/>
      <c r="G33" s="23"/>
      <c r="H33" s="23"/>
      <c r="I33" s="15"/>
    </row>
    <row r="34" spans="2:9" ht="15.75" x14ac:dyDescent="0.25">
      <c r="B34" s="10"/>
      <c r="C34" s="11"/>
      <c r="D34" s="27" t="s">
        <v>25</v>
      </c>
      <c r="E34" s="12"/>
      <c r="F34" s="24">
        <f>+[4]IYE!AA28</f>
        <v>2558582.06</v>
      </c>
      <c r="G34" s="23"/>
      <c r="H34" s="25">
        <f>+F34+[3]Patronato!$H$34</f>
        <v>60047786.020000011</v>
      </c>
      <c r="I34" s="15"/>
    </row>
    <row r="35" spans="2:9" x14ac:dyDescent="0.2">
      <c r="B35" s="10"/>
      <c r="C35" s="11"/>
      <c r="D35" s="11"/>
      <c r="E35" s="12"/>
      <c r="F35" s="12"/>
      <c r="G35" s="23"/>
      <c r="H35" s="23"/>
      <c r="I35" s="15"/>
    </row>
    <row r="36" spans="2:9" ht="15.75" x14ac:dyDescent="0.25">
      <c r="B36" s="10"/>
      <c r="C36" s="11"/>
      <c r="D36" s="27" t="s">
        <v>26</v>
      </c>
      <c r="E36" s="12"/>
      <c r="F36" s="12">
        <f>+F32-F34</f>
        <v>138687413</v>
      </c>
      <c r="G36" s="23"/>
      <c r="H36" s="23">
        <f>+H32-H34</f>
        <v>1631686928.8000002</v>
      </c>
      <c r="I36" s="15"/>
    </row>
    <row r="37" spans="2:9" x14ac:dyDescent="0.2">
      <c r="B37" s="10"/>
      <c r="C37" s="11"/>
      <c r="D37" s="11"/>
      <c r="E37" s="12"/>
      <c r="F37" s="12"/>
      <c r="G37" s="23"/>
      <c r="H37" s="23"/>
      <c r="I37" s="15"/>
    </row>
    <row r="38" spans="2:9" ht="15.75" x14ac:dyDescent="0.25">
      <c r="B38" s="26"/>
      <c r="C38" s="27" t="s">
        <v>27</v>
      </c>
      <c r="D38" s="11"/>
      <c r="E38" s="12"/>
      <c r="F38" s="12"/>
      <c r="G38" s="23"/>
      <c r="H38" s="23"/>
      <c r="I38" s="15"/>
    </row>
    <row r="39" spans="2:9" x14ac:dyDescent="0.2">
      <c r="B39" s="21"/>
      <c r="C39" s="22" t="s">
        <v>28</v>
      </c>
      <c r="D39" s="11"/>
      <c r="E39" s="12"/>
      <c r="F39" s="12">
        <f>+[4]IYE!AA34+[4]IYE!AA66</f>
        <v>115691806.26000001</v>
      </c>
      <c r="G39" s="23"/>
      <c r="H39" s="23">
        <f>+F39+[3]Patronato!$H$39</f>
        <v>1030576494.9699999</v>
      </c>
      <c r="I39" s="15"/>
    </row>
    <row r="40" spans="2:9" x14ac:dyDescent="0.2">
      <c r="B40" s="21"/>
      <c r="C40" s="22" t="s">
        <v>29</v>
      </c>
      <c r="D40" s="11"/>
      <c r="E40" s="12"/>
      <c r="F40" s="12">
        <f>+[4]IYE!AA36+[4]IYE!AA68</f>
        <v>5455470.1000000006</v>
      </c>
      <c r="G40" s="23"/>
      <c r="H40" s="23">
        <f>+F40+[3]Patronato!$H$40</f>
        <v>82952059.559999987</v>
      </c>
      <c r="I40" s="15"/>
    </row>
    <row r="41" spans="2:9" x14ac:dyDescent="0.2">
      <c r="B41" s="21"/>
      <c r="C41" s="22" t="s">
        <v>30</v>
      </c>
      <c r="D41" s="11"/>
      <c r="E41" s="12"/>
      <c r="F41" s="12">
        <f>+[4]IYE!AA35+[4]IYE!AA37+[4]IYE!AA67+[4]IYE!AA69+0.5</f>
        <v>35803959.32</v>
      </c>
      <c r="G41" s="23"/>
      <c r="H41" s="23">
        <f>+F41+[3]Patronato!$H$41-4</f>
        <v>245311085.87</v>
      </c>
      <c r="I41" s="15"/>
    </row>
    <row r="42" spans="2:9" x14ac:dyDescent="0.2">
      <c r="B42" s="21"/>
      <c r="C42" s="22" t="s">
        <v>31</v>
      </c>
      <c r="D42" s="11"/>
      <c r="E42" s="12"/>
      <c r="F42" s="12">
        <f>+[4]IYE!AA70</f>
        <v>0</v>
      </c>
      <c r="G42" s="23"/>
      <c r="H42" s="23">
        <f>+F42+[3]Patronato!$H$42</f>
        <v>0</v>
      </c>
      <c r="I42" s="15"/>
    </row>
    <row r="43" spans="2:9" x14ac:dyDescent="0.2">
      <c r="B43" s="21"/>
      <c r="C43" s="22" t="s">
        <v>32</v>
      </c>
      <c r="D43" s="11"/>
      <c r="E43" s="12"/>
      <c r="F43" s="12">
        <f>+[4]IYE!AA48+1</f>
        <v>1042654.0200000001</v>
      </c>
      <c r="G43" s="23"/>
      <c r="H43" s="23">
        <f>+F43+[3]Patronato!$H$43</f>
        <v>8613126.5199999996</v>
      </c>
      <c r="I43" s="15"/>
    </row>
    <row r="44" spans="2:9" x14ac:dyDescent="0.2">
      <c r="B44" s="21"/>
      <c r="C44" s="22" t="s">
        <v>33</v>
      </c>
      <c r="D44" s="11"/>
      <c r="E44" s="12"/>
      <c r="F44" s="24">
        <f>+[4]IYE!AA38+[4]IYE!AA71</f>
        <v>6034746.9500000002</v>
      </c>
      <c r="G44" s="23"/>
      <c r="H44" s="25">
        <f>+F44+[3]Patronato!$H$44</f>
        <v>49105858.280000009</v>
      </c>
      <c r="I44" s="15"/>
    </row>
    <row r="45" spans="2:9" ht="15.75" x14ac:dyDescent="0.25">
      <c r="B45" s="26"/>
      <c r="C45" s="27" t="s">
        <v>34</v>
      </c>
      <c r="D45" s="11"/>
      <c r="E45" s="12"/>
      <c r="F45" s="28">
        <f>SUM(F39:F44)-1</f>
        <v>164028635.65000001</v>
      </c>
      <c r="G45" s="23"/>
      <c r="H45" s="29">
        <f>SUM(H39:H44)+1</f>
        <v>1416558626.2</v>
      </c>
      <c r="I45" s="15"/>
    </row>
    <row r="46" spans="2:9" x14ac:dyDescent="0.2">
      <c r="B46" s="10"/>
      <c r="C46" s="11"/>
      <c r="D46" s="11"/>
      <c r="E46" s="12"/>
      <c r="F46" s="12"/>
      <c r="G46" s="23"/>
      <c r="H46" s="23"/>
      <c r="I46" s="15"/>
    </row>
    <row r="47" spans="2:9" ht="15.75" x14ac:dyDescent="0.25">
      <c r="B47" s="26"/>
      <c r="C47" s="27" t="s">
        <v>35</v>
      </c>
      <c r="D47" s="11"/>
      <c r="E47" s="12"/>
      <c r="F47" s="30">
        <f>+F36-F45</f>
        <v>-25341222.650000006</v>
      </c>
      <c r="G47" s="31"/>
      <c r="H47" s="31">
        <f>+H36-H45</f>
        <v>215128302.60000014</v>
      </c>
      <c r="I47" s="15"/>
    </row>
    <row r="48" spans="2:9" x14ac:dyDescent="0.2">
      <c r="B48" s="10"/>
      <c r="C48" s="11"/>
      <c r="D48" s="11"/>
      <c r="E48" s="12"/>
      <c r="F48" s="12"/>
      <c r="G48" s="23"/>
      <c r="H48" s="23"/>
      <c r="I48" s="15"/>
    </row>
    <row r="49" spans="2:10" ht="15.75" x14ac:dyDescent="0.25">
      <c r="B49" s="26"/>
      <c r="C49" s="27" t="s">
        <v>36</v>
      </c>
      <c r="D49" s="11"/>
      <c r="E49" s="12"/>
      <c r="F49" s="12"/>
      <c r="G49" s="23"/>
      <c r="H49" s="23"/>
      <c r="I49" s="15"/>
    </row>
    <row r="50" spans="2:10" x14ac:dyDescent="0.2">
      <c r="B50" s="21"/>
      <c r="C50" s="22" t="s">
        <v>37</v>
      </c>
      <c r="D50" s="11"/>
      <c r="E50" s="12"/>
      <c r="F50" s="12">
        <f>+[4]IYE!AA56+[4]IYE!AA57+[4]IYE!AA58+[4]IYE!AA59+[4]IYE!AA74</f>
        <v>4265132.24</v>
      </c>
      <c r="G50" s="23"/>
      <c r="H50" s="23">
        <f>+F50+[3]Patronato!$H$50</f>
        <v>51396618.739999995</v>
      </c>
      <c r="I50" s="15"/>
    </row>
    <row r="51" spans="2:10" x14ac:dyDescent="0.2">
      <c r="B51" s="21"/>
      <c r="C51" s="22" t="s">
        <v>38</v>
      </c>
      <c r="D51" s="11"/>
      <c r="E51" s="12"/>
      <c r="F51" s="12">
        <f>+[4]IYE!AA53+[4]IYE!AA54+[4]IYE!AA73</f>
        <v>5023581.5500000007</v>
      </c>
      <c r="G51" s="23"/>
      <c r="H51" s="23">
        <f>+F51+[3]Patronato!$H$51</f>
        <v>41985832.489999995</v>
      </c>
      <c r="I51" s="15"/>
    </row>
    <row r="52" spans="2:10" x14ac:dyDescent="0.2">
      <c r="B52" s="21"/>
      <c r="C52" s="22" t="s">
        <v>39</v>
      </c>
      <c r="D52" s="11"/>
      <c r="E52" s="12"/>
      <c r="F52" s="24">
        <f>+[4]IYE!AA51+[4]IYE!AA52+[4]IYE!AA55+[4]IYE!AA60+[4]IYE!AA61+[4]IYE!AA75</f>
        <v>137486.2999999999</v>
      </c>
      <c r="G52" s="23"/>
      <c r="H52" s="25">
        <f>+F52+[3]Patronato!$H$52+2</f>
        <v>4637045.37</v>
      </c>
      <c r="I52" s="15"/>
    </row>
    <row r="53" spans="2:10" ht="15.75" x14ac:dyDescent="0.25">
      <c r="B53" s="26"/>
      <c r="C53" s="27" t="s">
        <v>40</v>
      </c>
      <c r="D53" s="11"/>
      <c r="E53" s="12"/>
      <c r="F53" s="28">
        <f>SUM(F50:F52)</f>
        <v>9426200.0900000017</v>
      </c>
      <c r="G53" s="23"/>
      <c r="H53" s="29">
        <f>SUM(H50:H52)-1</f>
        <v>98019495.599999994</v>
      </c>
      <c r="I53" s="15"/>
    </row>
    <row r="54" spans="2:10" x14ac:dyDescent="0.2">
      <c r="B54" s="10"/>
      <c r="C54" s="11"/>
      <c r="D54" s="11"/>
      <c r="E54" s="12"/>
      <c r="F54" s="12"/>
      <c r="G54" s="23"/>
      <c r="H54" s="23"/>
      <c r="I54" s="15"/>
    </row>
    <row r="55" spans="2:10" ht="15.75" x14ac:dyDescent="0.25">
      <c r="B55" s="10"/>
      <c r="C55" s="11"/>
      <c r="D55" s="27" t="s">
        <v>41</v>
      </c>
      <c r="E55" s="12"/>
      <c r="F55" s="24">
        <f>+F45+F53</f>
        <v>173454835.74000001</v>
      </c>
      <c r="G55" s="23"/>
      <c r="H55" s="25">
        <f>+H45+H53</f>
        <v>1514578121.8</v>
      </c>
      <c r="I55" s="15"/>
    </row>
    <row r="56" spans="2:10" x14ac:dyDescent="0.2">
      <c r="B56" s="10"/>
      <c r="C56" s="11"/>
      <c r="D56" s="11"/>
      <c r="E56" s="12"/>
      <c r="F56" s="12"/>
      <c r="G56" s="23"/>
      <c r="H56" s="23"/>
      <c r="I56" s="15"/>
    </row>
    <row r="57" spans="2:10" ht="15.75" x14ac:dyDescent="0.25">
      <c r="B57" s="26"/>
      <c r="C57" s="32" t="s">
        <v>42</v>
      </c>
      <c r="D57" s="27"/>
      <c r="E57" s="33"/>
      <c r="F57" s="34">
        <f>+F36-F55</f>
        <v>-34767422.74000001</v>
      </c>
      <c r="G57" s="35"/>
      <c r="H57" s="35">
        <f>+H36-H55</f>
        <v>117108807.00000024</v>
      </c>
      <c r="I57" s="36"/>
      <c r="J57" s="20"/>
    </row>
    <row r="58" spans="2:10" x14ac:dyDescent="0.2">
      <c r="B58" s="10"/>
      <c r="C58" s="11"/>
      <c r="D58" s="11"/>
      <c r="E58" s="12"/>
      <c r="F58" s="12"/>
      <c r="G58" s="23"/>
      <c r="H58" s="23"/>
      <c r="I58" s="15"/>
    </row>
    <row r="59" spans="2:10" x14ac:dyDescent="0.2">
      <c r="B59" s="10"/>
      <c r="C59" s="11"/>
      <c r="D59" s="11"/>
      <c r="E59" s="12"/>
      <c r="F59" s="12"/>
      <c r="G59" s="23"/>
      <c r="H59" s="23"/>
      <c r="I59" s="15"/>
    </row>
    <row r="60" spans="2:10" ht="15.75" x14ac:dyDescent="0.25">
      <c r="B60" s="26"/>
      <c r="C60" s="27" t="s">
        <v>43</v>
      </c>
      <c r="D60" s="11"/>
      <c r="E60" s="12"/>
      <c r="F60" s="12"/>
      <c r="G60" s="23"/>
      <c r="H60" s="23"/>
      <c r="I60" s="15"/>
    </row>
    <row r="61" spans="2:10" x14ac:dyDescent="0.2">
      <c r="B61" s="10"/>
      <c r="C61" s="11"/>
      <c r="D61" s="22" t="s">
        <v>44</v>
      </c>
      <c r="E61" s="30">
        <v>-106304768.13</v>
      </c>
      <c r="F61" s="12"/>
      <c r="G61" s="31">
        <v>50075396.979999997</v>
      </c>
      <c r="H61" s="37"/>
      <c r="I61" s="15"/>
    </row>
    <row r="62" spans="2:10" x14ac:dyDescent="0.2">
      <c r="B62" s="10"/>
      <c r="C62" s="11"/>
      <c r="D62" s="22" t="s">
        <v>45</v>
      </c>
      <c r="E62" s="31">
        <f>123380225.34+1-8526116</f>
        <v>114854110.34</v>
      </c>
      <c r="F62" s="23"/>
      <c r="G62" s="31">
        <f>172753267.17-8526116</f>
        <v>164227151.16999999</v>
      </c>
      <c r="H62" s="37"/>
      <c r="I62" s="15"/>
    </row>
    <row r="63" spans="2:10" x14ac:dyDescent="0.2">
      <c r="B63" s="10"/>
      <c r="C63" s="11"/>
      <c r="D63" s="22" t="s">
        <v>46</v>
      </c>
      <c r="E63" s="30">
        <v>-43316764.549999997</v>
      </c>
      <c r="F63" s="12"/>
      <c r="G63" s="31">
        <v>-97810673.980000004</v>
      </c>
      <c r="H63" s="37"/>
      <c r="I63" s="15"/>
    </row>
    <row r="64" spans="2:10" ht="15.75" x14ac:dyDescent="0.25">
      <c r="B64" s="10"/>
      <c r="C64" s="11"/>
      <c r="D64" s="22" t="s">
        <v>47</v>
      </c>
      <c r="E64" s="38">
        <f>+[4]BALCOM!N40+[4]BALCOM!N41</f>
        <v>0.21000003814697266</v>
      </c>
      <c r="F64" s="39">
        <f>+E61+E62+E63+E64-1</f>
        <v>-34767423.129999951</v>
      </c>
      <c r="G64" s="40">
        <v>616932.63</v>
      </c>
      <c r="H64" s="41">
        <f>+G61+G62+G63+G64</f>
        <v>117108806.79999997</v>
      </c>
      <c r="I64" s="15"/>
    </row>
    <row r="65" spans="2:10" ht="15.75" thickBot="1" x14ac:dyDescent="0.25">
      <c r="B65" s="42"/>
      <c r="C65" s="43"/>
      <c r="D65" s="43"/>
      <c r="E65" s="44"/>
      <c r="F65" s="44"/>
      <c r="G65" s="44"/>
      <c r="H65" s="44"/>
      <c r="I65" s="45"/>
    </row>
    <row r="66" spans="2:10" ht="15.75" x14ac:dyDescent="0.25">
      <c r="B66" s="26"/>
      <c r="C66" s="27" t="s">
        <v>48</v>
      </c>
      <c r="D66" s="11"/>
      <c r="E66" s="12"/>
      <c r="F66" s="12"/>
      <c r="G66" s="12"/>
      <c r="H66" s="12"/>
      <c r="I66" s="15"/>
    </row>
    <row r="67" spans="2:10" ht="15.75" x14ac:dyDescent="0.25">
      <c r="B67" s="26"/>
      <c r="C67" s="27"/>
      <c r="D67" s="27"/>
      <c r="E67" s="46" t="s">
        <v>49</v>
      </c>
      <c r="F67" s="46"/>
      <c r="G67" s="46" t="s">
        <v>50</v>
      </c>
      <c r="H67" s="46"/>
      <c r="I67" s="47"/>
      <c r="J67" s="20"/>
    </row>
    <row r="68" spans="2:10" x14ac:dyDescent="0.2">
      <c r="B68" s="10"/>
      <c r="C68" s="11"/>
      <c r="D68" s="11"/>
      <c r="E68" s="23"/>
      <c r="F68" s="23"/>
      <c r="G68" s="23"/>
      <c r="H68" s="23"/>
      <c r="I68" s="15"/>
    </row>
    <row r="69" spans="2:10" x14ac:dyDescent="0.2">
      <c r="B69" s="21"/>
      <c r="C69" s="22" t="s">
        <v>51</v>
      </c>
      <c r="D69" s="11"/>
      <c r="E69" s="23"/>
      <c r="F69" s="23">
        <f>+[3]Patronato!H69</f>
        <v>231128.93</v>
      </c>
      <c r="G69" s="23"/>
      <c r="H69" s="23">
        <f>+[4]CAJA!G33</f>
        <v>230128.93</v>
      </c>
      <c r="I69" s="15"/>
    </row>
    <row r="70" spans="2:10" x14ac:dyDescent="0.2">
      <c r="B70" s="21"/>
      <c r="C70" s="22" t="s">
        <v>52</v>
      </c>
      <c r="D70" s="11"/>
      <c r="E70" s="23"/>
      <c r="F70" s="23">
        <f>+[3]Patronato!H70</f>
        <v>153950.79999999999</v>
      </c>
      <c r="G70" s="23"/>
      <c r="H70" s="23">
        <f>+[4]CAJA!G31</f>
        <v>153950.79999999999</v>
      </c>
      <c r="I70" s="15"/>
    </row>
    <row r="71" spans="2:10" x14ac:dyDescent="0.2">
      <c r="B71" s="21"/>
      <c r="C71" s="22" t="s">
        <v>53</v>
      </c>
      <c r="D71" s="11"/>
      <c r="E71" s="23"/>
      <c r="F71" s="23">
        <f>+[3]Patronato!H71</f>
        <v>90910324.269999996</v>
      </c>
      <c r="G71" s="23"/>
      <c r="H71" s="23">
        <f>+[4]CAJA!G37</f>
        <v>62824528.319999993</v>
      </c>
      <c r="I71" s="15"/>
    </row>
    <row r="72" spans="2:10" x14ac:dyDescent="0.2">
      <c r="B72" s="21"/>
      <c r="C72" s="22" t="s">
        <v>54</v>
      </c>
      <c r="D72" s="11"/>
      <c r="E72" s="23"/>
      <c r="F72" s="23">
        <f>+[3]Patronato!H72</f>
        <v>35727210.07</v>
      </c>
      <c r="G72" s="23"/>
      <c r="H72" s="23">
        <f>+[4]CAJA!G35</f>
        <v>22710369.16</v>
      </c>
      <c r="I72" s="15"/>
    </row>
    <row r="73" spans="2:10" ht="15.75" x14ac:dyDescent="0.25">
      <c r="B73" s="26"/>
      <c r="C73" s="27" t="s">
        <v>55</v>
      </c>
      <c r="D73" s="27"/>
      <c r="E73" s="46"/>
      <c r="F73" s="46"/>
      <c r="G73" s="46"/>
      <c r="H73" s="46"/>
      <c r="I73" s="47"/>
      <c r="J73" s="20"/>
    </row>
    <row r="74" spans="2:10" x14ac:dyDescent="0.2">
      <c r="B74" s="21"/>
      <c r="C74" s="22" t="s">
        <v>56</v>
      </c>
      <c r="D74" s="11"/>
      <c r="E74" s="23">
        <f>+[3]Patronato!G74</f>
        <v>10822280</v>
      </c>
      <c r="F74" s="23"/>
      <c r="G74" s="23">
        <f>+[4]CUSTODIA!M66</f>
        <v>7164714.5199999996</v>
      </c>
      <c r="H74" s="23"/>
      <c r="I74" s="15"/>
    </row>
    <row r="75" spans="2:10" x14ac:dyDescent="0.2">
      <c r="B75" s="21"/>
      <c r="C75" s="22" t="s">
        <v>57</v>
      </c>
      <c r="D75" s="11"/>
      <c r="E75" s="23">
        <f>+[3]Patronato!G75</f>
        <v>16376619.92</v>
      </c>
      <c r="F75" s="23"/>
      <c r="G75" s="23">
        <f>+[4]CUSTODIA!M70</f>
        <v>15588022.32</v>
      </c>
      <c r="H75" s="23"/>
      <c r="I75" s="15"/>
    </row>
    <row r="76" spans="2:10" x14ac:dyDescent="0.2">
      <c r="B76" s="21"/>
      <c r="C76" s="22" t="s">
        <v>58</v>
      </c>
      <c r="D76" s="11"/>
      <c r="E76" s="23">
        <f>+[3]Patronato!G76</f>
        <v>116037.55</v>
      </c>
      <c r="F76" s="23"/>
      <c r="G76" s="23">
        <f>+[4]CUSTODIA!M68</f>
        <v>116037.55</v>
      </c>
      <c r="H76" s="23"/>
      <c r="I76" s="15"/>
    </row>
    <row r="77" spans="2:10" x14ac:dyDescent="0.2">
      <c r="B77" s="21"/>
      <c r="C77" s="22" t="s">
        <v>22</v>
      </c>
      <c r="D77" s="11"/>
      <c r="E77" s="23">
        <f>+[3]Patronato!G77</f>
        <v>6385663.0300000003</v>
      </c>
      <c r="F77" s="23"/>
      <c r="G77" s="23">
        <f>+[4]CUSTODIA!M64</f>
        <v>11018683.73</v>
      </c>
      <c r="H77" s="23"/>
      <c r="I77" s="15"/>
    </row>
    <row r="78" spans="2:10" x14ac:dyDescent="0.2">
      <c r="B78" s="21"/>
      <c r="C78" s="22" t="s">
        <v>59</v>
      </c>
      <c r="D78" s="11"/>
      <c r="E78" s="23">
        <f>+[3]Patronato!G78</f>
        <v>54476941.390000001</v>
      </c>
      <c r="F78" s="23"/>
      <c r="G78" s="23">
        <f>+[4]CUSTODIA!M74</f>
        <v>53710476.670000002</v>
      </c>
      <c r="H78" s="23"/>
      <c r="I78" s="15"/>
    </row>
    <row r="79" spans="2:10" ht="15.75" x14ac:dyDescent="0.25">
      <c r="B79" s="21"/>
      <c r="C79" s="22" t="s">
        <v>60</v>
      </c>
      <c r="D79" s="11"/>
      <c r="E79" s="25">
        <f>+[3]Patronato!$G$79</f>
        <v>14720611.369999999</v>
      </c>
      <c r="F79" s="25">
        <f>+E74+E75+E76+E77+E78+E79</f>
        <v>102898153.26000001</v>
      </c>
      <c r="G79" s="25">
        <f>+[4]CUSTODIA!M72</f>
        <v>13946493.949999999</v>
      </c>
      <c r="H79" s="25">
        <f>+G74+G75+G76+G77+G78+G79+1</f>
        <v>101544429.74000001</v>
      </c>
      <c r="I79" s="15"/>
      <c r="J79" s="20"/>
    </row>
    <row r="80" spans="2:10" ht="15.75" x14ac:dyDescent="0.25">
      <c r="B80" s="26"/>
      <c r="C80" s="27" t="s">
        <v>61</v>
      </c>
      <c r="D80" s="27"/>
      <c r="E80" s="46"/>
      <c r="F80" s="23">
        <f>+F69+F70+F71+F72+F79</f>
        <v>229920767.32999998</v>
      </c>
      <c r="G80" s="46"/>
      <c r="H80" s="23">
        <f>SUM(H69:H79)</f>
        <v>187463406.94999999</v>
      </c>
      <c r="I80" s="47"/>
      <c r="J80" s="20"/>
    </row>
    <row r="81" spans="2:10" ht="16.5" thickBot="1" x14ac:dyDescent="0.3">
      <c r="B81" s="26"/>
      <c r="C81" s="27"/>
      <c r="D81" s="27"/>
      <c r="E81" s="33"/>
      <c r="F81" s="33"/>
      <c r="G81" s="46"/>
      <c r="H81" s="23"/>
      <c r="I81" s="47"/>
      <c r="J81" s="48"/>
    </row>
    <row r="82" spans="2:10" ht="12.75" x14ac:dyDescent="0.2">
      <c r="B82" s="49"/>
      <c r="C82" s="50"/>
      <c r="D82" s="50"/>
      <c r="E82" s="51"/>
      <c r="F82" s="51"/>
      <c r="G82" s="51"/>
      <c r="H82" s="51"/>
      <c r="I82" s="52"/>
      <c r="J82" s="48"/>
    </row>
    <row r="83" spans="2:10" ht="12.75" x14ac:dyDescent="0.2">
      <c r="B83" s="53"/>
      <c r="C83" s="54"/>
      <c r="D83" s="54"/>
      <c r="E83" s="55"/>
      <c r="F83" s="55"/>
      <c r="G83" s="55"/>
      <c r="H83" s="55"/>
      <c r="I83" s="56"/>
      <c r="J83" s="48"/>
    </row>
    <row r="84" spans="2:10" ht="12.75" x14ac:dyDescent="0.2">
      <c r="B84" s="53"/>
      <c r="C84" s="54"/>
      <c r="D84" s="54"/>
      <c r="E84" s="55"/>
      <c r="F84" s="55"/>
      <c r="G84" s="55"/>
      <c r="H84" s="55"/>
      <c r="I84" s="56"/>
      <c r="J84" s="48"/>
    </row>
    <row r="85" spans="2:10" ht="12.75" x14ac:dyDescent="0.2">
      <c r="B85" s="53"/>
      <c r="C85" s="54"/>
      <c r="D85" s="54"/>
      <c r="E85" s="55"/>
      <c r="F85" s="55"/>
      <c r="G85" s="55"/>
      <c r="H85" s="55"/>
      <c r="I85" s="56"/>
      <c r="J85" s="57"/>
    </row>
    <row r="86" spans="2:10" ht="12.75" x14ac:dyDescent="0.2">
      <c r="B86" s="58" t="s">
        <v>62</v>
      </c>
      <c r="C86" s="59"/>
      <c r="D86" s="60"/>
      <c r="E86" s="61" t="s">
        <v>63</v>
      </c>
      <c r="F86" s="62"/>
      <c r="G86" s="63" t="s">
        <v>64</v>
      </c>
      <c r="H86" s="62"/>
      <c r="I86" s="64" t="s">
        <v>65</v>
      </c>
      <c r="J86" s="57"/>
    </row>
    <row r="87" spans="2:10" ht="12.75" x14ac:dyDescent="0.2">
      <c r="B87" s="65"/>
      <c r="C87" s="66" t="s">
        <v>66</v>
      </c>
      <c r="D87" s="67" t="s">
        <v>67</v>
      </c>
      <c r="E87" s="67"/>
      <c r="F87" s="62"/>
      <c r="G87" s="63" t="s">
        <v>68</v>
      </c>
      <c r="H87" s="62"/>
      <c r="I87" s="64" t="s">
        <v>69</v>
      </c>
      <c r="J87" s="48"/>
    </row>
    <row r="88" spans="2:10" ht="15.75" thickBot="1" x14ac:dyDescent="0.25">
      <c r="B88" s="68"/>
      <c r="C88" s="69"/>
      <c r="D88" s="69"/>
      <c r="E88" s="70"/>
      <c r="F88" s="70"/>
      <c r="G88" s="70"/>
      <c r="H88" s="70"/>
      <c r="I88" s="71"/>
    </row>
    <row r="89" spans="2:10" x14ac:dyDescent="0.2">
      <c r="E89" s="72"/>
    </row>
  </sheetData>
  <pageMargins left="1.1417322834645669" right="0.74803149606299213" top="0.98425196850393704" bottom="0.70866141732283472" header="0" footer="0"/>
  <pageSetup scale="51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2</xdr:col>
                <xdr:colOff>0</xdr:colOff>
                <xdr:row>1</xdr:row>
                <xdr:rowOff>66675</xdr:rowOff>
              </from>
              <to>
                <xdr:col>3</xdr:col>
                <xdr:colOff>685800</xdr:colOff>
                <xdr:row>5</xdr:row>
                <xdr:rowOff>180975</xdr:rowOff>
              </to>
            </anchor>
          </objectPr>
        </oleObject>
      </mc:Choice>
      <mc:Fallback>
        <oleObject progId="PBrush" shapeId="512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IYE ACUM OCT</vt:lpstr>
      <vt:lpstr>IYE ACUM NOV</vt:lpstr>
      <vt:lpstr>IYE ACUM DIC 1</vt:lpstr>
      <vt:lpstr>'IYE ACUM DIC 1'!Área_de_impresión</vt:lpstr>
      <vt:lpstr>'IYE ACUM NOV'!Área_de_impresión</vt:lpstr>
      <vt:lpstr>'IYE ACUM OCT'!Área_de_impresión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Casillas</dc:creator>
  <cp:lastModifiedBy>Jesus Casillas</cp:lastModifiedBy>
  <dcterms:created xsi:type="dcterms:W3CDTF">2012-01-24T16:22:06Z</dcterms:created>
  <dcterms:modified xsi:type="dcterms:W3CDTF">2012-01-24T21:09:03Z</dcterms:modified>
</cp:coreProperties>
</file>