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 activeTab="2"/>
  </bookViews>
  <sheets>
    <sheet name="PRESUPUESTAL POR FONDO OCT" sheetId="2" r:id="rId1"/>
    <sheet name="PRESUPUESTAL POR FONDO NOV" sheetId="3" r:id="rId2"/>
    <sheet name="PRESUPUESTAL POR FONDO DIC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2">'PRESUPUESTAL POR FONDO DIC'!$A$1:$N$79</definedName>
    <definedName name="_xlnm.Print_Area" localSheetId="1">'PRESUPUESTAL POR FONDO NOV'!$A$1:$N$79</definedName>
    <definedName name="_xlnm.Print_Area" localSheetId="0">'PRESUPUESTAL POR FONDO OCT'!$A$1:$N$79</definedName>
  </definedNames>
  <calcPr calcId="144525" calcOnSave="0"/>
</workbook>
</file>

<file path=xl/calcChain.xml><?xml version="1.0" encoding="utf-8"?>
<calcChain xmlns="http://schemas.openxmlformats.org/spreadsheetml/2006/main">
  <c r="M73" i="4" l="1"/>
  <c r="L73" i="4" s="1"/>
  <c r="N73" i="4" s="1"/>
  <c r="E73" i="4"/>
  <c r="I73" i="4" s="1"/>
  <c r="M72" i="4"/>
  <c r="L72" i="4" s="1"/>
  <c r="N72" i="4" s="1"/>
  <c r="E72" i="4"/>
  <c r="I72" i="4" s="1"/>
  <c r="M71" i="4"/>
  <c r="M74" i="4" s="1"/>
  <c r="E71" i="4"/>
  <c r="E74" i="4" s="1"/>
  <c r="D70" i="4"/>
  <c r="F70" i="4" s="1"/>
  <c r="M69" i="4"/>
  <c r="L69" i="4" s="1"/>
  <c r="N69" i="4" s="1"/>
  <c r="H69" i="4"/>
  <c r="E69" i="4"/>
  <c r="F69" i="4" s="1"/>
  <c r="M68" i="4"/>
  <c r="L68" i="4"/>
  <c r="N68" i="4" s="1"/>
  <c r="H68" i="4"/>
  <c r="E68" i="4"/>
  <c r="I68" i="4" s="1"/>
  <c r="M67" i="4"/>
  <c r="L67" i="4" s="1"/>
  <c r="N67" i="4" s="1"/>
  <c r="H67" i="4"/>
  <c r="F67" i="4"/>
  <c r="E67" i="4"/>
  <c r="I67" i="4" s="1"/>
  <c r="J67" i="4" s="1"/>
  <c r="M66" i="4"/>
  <c r="L66" i="4" s="1"/>
  <c r="N66" i="4" s="1"/>
  <c r="H66" i="4"/>
  <c r="E66" i="4"/>
  <c r="F66" i="4" s="1"/>
  <c r="M65" i="4"/>
  <c r="L65" i="4"/>
  <c r="N65" i="4" s="1"/>
  <c r="H65" i="4"/>
  <c r="F65" i="4"/>
  <c r="E65" i="4"/>
  <c r="I65" i="4" s="1"/>
  <c r="M64" i="4"/>
  <c r="L64" i="4" s="1"/>
  <c r="H64" i="4"/>
  <c r="H70" i="4" s="1"/>
  <c r="F64" i="4"/>
  <c r="E64" i="4"/>
  <c r="E70" i="4" s="1"/>
  <c r="D61" i="4"/>
  <c r="M60" i="4"/>
  <c r="L60" i="4"/>
  <c r="N60" i="4" s="1"/>
  <c r="E60" i="4"/>
  <c r="F60" i="4" s="1"/>
  <c r="M59" i="4"/>
  <c r="L59" i="4"/>
  <c r="N59" i="4" s="1"/>
  <c r="H59" i="4"/>
  <c r="J59" i="4" s="1"/>
  <c r="F59" i="4"/>
  <c r="E59" i="4"/>
  <c r="I59" i="4" s="1"/>
  <c r="N58" i="4"/>
  <c r="M58" i="4"/>
  <c r="L58" i="4"/>
  <c r="H58" i="4"/>
  <c r="F58" i="4"/>
  <c r="E58" i="4"/>
  <c r="I58" i="4" s="1"/>
  <c r="J58" i="4" s="1"/>
  <c r="M57" i="4"/>
  <c r="L57" i="4"/>
  <c r="N57" i="4" s="1"/>
  <c r="H57" i="4"/>
  <c r="E57" i="4"/>
  <c r="F57" i="4" s="1"/>
  <c r="M56" i="4"/>
  <c r="L56" i="4"/>
  <c r="N56" i="4" s="1"/>
  <c r="H56" i="4"/>
  <c r="J56" i="4" s="1"/>
  <c r="F56" i="4"/>
  <c r="E56" i="4"/>
  <c r="I56" i="4" s="1"/>
  <c r="N55" i="4"/>
  <c r="M55" i="4"/>
  <c r="L55" i="4"/>
  <c r="H55" i="4"/>
  <c r="F55" i="4"/>
  <c r="E55" i="4"/>
  <c r="I55" i="4" s="1"/>
  <c r="J55" i="4" s="1"/>
  <c r="M54" i="4"/>
  <c r="L54" i="4"/>
  <c r="N54" i="4" s="1"/>
  <c r="H54" i="4"/>
  <c r="E54" i="4"/>
  <c r="F54" i="4" s="1"/>
  <c r="M53" i="4"/>
  <c r="L53" i="4"/>
  <c r="N53" i="4" s="1"/>
  <c r="H53" i="4"/>
  <c r="J53" i="4" s="1"/>
  <c r="F53" i="4"/>
  <c r="E53" i="4"/>
  <c r="I53" i="4" s="1"/>
  <c r="N52" i="4"/>
  <c r="M52" i="4"/>
  <c r="L52" i="4"/>
  <c r="H52" i="4"/>
  <c r="F52" i="4"/>
  <c r="E52" i="4"/>
  <c r="I52" i="4" s="1"/>
  <c r="J52" i="4" s="1"/>
  <c r="M51" i="4"/>
  <c r="L51" i="4"/>
  <c r="N51" i="4" s="1"/>
  <c r="H51" i="4"/>
  <c r="E51" i="4"/>
  <c r="F51" i="4" s="1"/>
  <c r="M50" i="4"/>
  <c r="M61" i="4" s="1"/>
  <c r="L50" i="4"/>
  <c r="L61" i="4" s="1"/>
  <c r="H50" i="4"/>
  <c r="H61" i="4" s="1"/>
  <c r="F50" i="4"/>
  <c r="E50" i="4"/>
  <c r="I50" i="4" s="1"/>
  <c r="D48" i="4"/>
  <c r="D49" i="4" s="1"/>
  <c r="N47" i="4"/>
  <c r="M47" i="4"/>
  <c r="L47" i="4"/>
  <c r="H47" i="4"/>
  <c r="F47" i="4"/>
  <c r="E47" i="4"/>
  <c r="I47" i="4" s="1"/>
  <c r="J47" i="4" s="1"/>
  <c r="M46" i="4"/>
  <c r="L46" i="4"/>
  <c r="N46" i="4" s="1"/>
  <c r="H46" i="4"/>
  <c r="E46" i="4"/>
  <c r="F46" i="4" s="1"/>
  <c r="N45" i="4"/>
  <c r="M45" i="4"/>
  <c r="H45" i="4"/>
  <c r="F45" i="4"/>
  <c r="E45" i="4"/>
  <c r="I45" i="4" s="1"/>
  <c r="J45" i="4" s="1"/>
  <c r="M44" i="4"/>
  <c r="L44" i="4"/>
  <c r="N44" i="4" s="1"/>
  <c r="H44" i="4"/>
  <c r="E44" i="4"/>
  <c r="F44" i="4" s="1"/>
  <c r="M43" i="4"/>
  <c r="L43" i="4"/>
  <c r="N43" i="4" s="1"/>
  <c r="H43" i="4"/>
  <c r="F43" i="4"/>
  <c r="E43" i="4"/>
  <c r="I43" i="4" s="1"/>
  <c r="N42" i="4"/>
  <c r="M42" i="4"/>
  <c r="L42" i="4"/>
  <c r="H42" i="4"/>
  <c r="F42" i="4"/>
  <c r="E42" i="4"/>
  <c r="I42" i="4" s="1"/>
  <c r="J42" i="4" s="1"/>
  <c r="M41" i="4"/>
  <c r="L41" i="4"/>
  <c r="N41" i="4" s="1"/>
  <c r="H41" i="4"/>
  <c r="E41" i="4"/>
  <c r="F41" i="4" s="1"/>
  <c r="M40" i="4"/>
  <c r="M48" i="4" s="1"/>
  <c r="L40" i="4"/>
  <c r="L48" i="4" s="1"/>
  <c r="H40" i="4"/>
  <c r="H48" i="4" s="1"/>
  <c r="F40" i="4"/>
  <c r="E40" i="4"/>
  <c r="I40" i="4" s="1"/>
  <c r="D39" i="4"/>
  <c r="N38" i="4"/>
  <c r="H38" i="4"/>
  <c r="G38" i="4"/>
  <c r="F38" i="4"/>
  <c r="M37" i="4"/>
  <c r="L37" i="4"/>
  <c r="N37" i="4" s="1"/>
  <c r="H37" i="4"/>
  <c r="F37" i="4"/>
  <c r="E37" i="4"/>
  <c r="I37" i="4" s="1"/>
  <c r="N36" i="4"/>
  <c r="M36" i="4"/>
  <c r="L36" i="4"/>
  <c r="H36" i="4"/>
  <c r="F36" i="4"/>
  <c r="E36" i="4"/>
  <c r="I36" i="4" s="1"/>
  <c r="J36" i="4" s="1"/>
  <c r="M35" i="4"/>
  <c r="L35" i="4"/>
  <c r="H35" i="4"/>
  <c r="E35" i="4"/>
  <c r="F35" i="4" s="1"/>
  <c r="M34" i="4"/>
  <c r="L34" i="4"/>
  <c r="N34" i="4" s="1"/>
  <c r="H34" i="4"/>
  <c r="J34" i="4" s="1"/>
  <c r="F34" i="4"/>
  <c r="E34" i="4"/>
  <c r="I34" i="4" s="1"/>
  <c r="N33" i="4"/>
  <c r="M33" i="4"/>
  <c r="L33" i="4"/>
  <c r="L39" i="4" s="1"/>
  <c r="H33" i="4"/>
  <c r="E33" i="4"/>
  <c r="F33" i="4" s="1"/>
  <c r="M29" i="4"/>
  <c r="E29" i="4"/>
  <c r="I29" i="4" s="1"/>
  <c r="D29" i="4"/>
  <c r="F29" i="4" s="1"/>
  <c r="D26" i="4"/>
  <c r="M25" i="4"/>
  <c r="L25" i="4"/>
  <c r="N25" i="4" s="1"/>
  <c r="H25" i="4"/>
  <c r="E25" i="4"/>
  <c r="F25" i="4" s="1"/>
  <c r="N24" i="4"/>
  <c r="M24" i="4"/>
  <c r="L24" i="4"/>
  <c r="H24" i="4"/>
  <c r="F24" i="4"/>
  <c r="E24" i="4"/>
  <c r="I24" i="4" s="1"/>
  <c r="J24" i="4" s="1"/>
  <c r="M23" i="4"/>
  <c r="N23" i="4" s="1"/>
  <c r="L23" i="4"/>
  <c r="H23" i="4"/>
  <c r="E23" i="4"/>
  <c r="I23" i="4" s="1"/>
  <c r="J23" i="4" s="1"/>
  <c r="M22" i="4"/>
  <c r="L22" i="4"/>
  <c r="N22" i="4" s="1"/>
  <c r="H22" i="4"/>
  <c r="E22" i="4"/>
  <c r="I22" i="4" s="1"/>
  <c r="N21" i="4"/>
  <c r="M21" i="4"/>
  <c r="L21" i="4"/>
  <c r="H21" i="4"/>
  <c r="F21" i="4"/>
  <c r="E21" i="4"/>
  <c r="I21" i="4" s="1"/>
  <c r="J21" i="4" s="1"/>
  <c r="M20" i="4"/>
  <c r="N20" i="4" s="1"/>
  <c r="L20" i="4"/>
  <c r="H20" i="4"/>
  <c r="E20" i="4"/>
  <c r="F20" i="4" s="1"/>
  <c r="M19" i="4"/>
  <c r="L19" i="4"/>
  <c r="N19" i="4" s="1"/>
  <c r="H19" i="4"/>
  <c r="J19" i="4" s="1"/>
  <c r="E19" i="4"/>
  <c r="I19" i="4" s="1"/>
  <c r="N18" i="4"/>
  <c r="M18" i="4"/>
  <c r="L18" i="4"/>
  <c r="H18" i="4"/>
  <c r="H26" i="4" s="1"/>
  <c r="F18" i="4"/>
  <c r="E18" i="4"/>
  <c r="I18" i="4" s="1"/>
  <c r="J18" i="4" s="1"/>
  <c r="M17" i="4"/>
  <c r="L17" i="4"/>
  <c r="I17" i="4"/>
  <c r="H17" i="4"/>
  <c r="E17" i="4"/>
  <c r="M15" i="4"/>
  <c r="L15" i="4"/>
  <c r="N15" i="4" s="1"/>
  <c r="E15" i="4"/>
  <c r="I15" i="4" s="1"/>
  <c r="D15" i="4"/>
  <c r="F15" i="4" s="1"/>
  <c r="M14" i="4"/>
  <c r="L14" i="4"/>
  <c r="N14" i="4" s="1"/>
  <c r="H14" i="4"/>
  <c r="J14" i="4" s="1"/>
  <c r="E14" i="4"/>
  <c r="I14" i="4" s="1"/>
  <c r="D14" i="4"/>
  <c r="F14" i="4" s="1"/>
  <c r="M13" i="4"/>
  <c r="L13" i="4"/>
  <c r="N13" i="4" s="1"/>
  <c r="H13" i="4"/>
  <c r="E13" i="4"/>
  <c r="I13" i="4" s="1"/>
  <c r="D13" i="4"/>
  <c r="F13" i="4" s="1"/>
  <c r="M12" i="4"/>
  <c r="M16" i="4" s="1"/>
  <c r="L12" i="4"/>
  <c r="N12" i="4" s="1"/>
  <c r="E12" i="4"/>
  <c r="I12" i="4" s="1"/>
  <c r="D12" i="4"/>
  <c r="F12" i="4" s="1"/>
  <c r="M10" i="4"/>
  <c r="L10" i="4"/>
  <c r="N10" i="4" s="1"/>
  <c r="E10" i="4"/>
  <c r="D10" i="4" s="1"/>
  <c r="F10" i="4" s="1"/>
  <c r="M9" i="4"/>
  <c r="L9" i="4"/>
  <c r="N9" i="4" s="1"/>
  <c r="E9" i="4"/>
  <c r="I9" i="4" s="1"/>
  <c r="M8" i="4"/>
  <c r="M11" i="4" s="1"/>
  <c r="L8" i="4"/>
  <c r="N8" i="4" s="1"/>
  <c r="E8" i="4"/>
  <c r="E11" i="4" s="1"/>
  <c r="S4" i="4"/>
  <c r="S5" i="4" s="1"/>
  <c r="S6" i="4" s="1"/>
  <c r="D8" i="4" l="1"/>
  <c r="I8" i="4"/>
  <c r="I11" i="4" s="1"/>
  <c r="D9" i="4"/>
  <c r="L11" i="4"/>
  <c r="N11" i="4" s="1"/>
  <c r="H12" i="4"/>
  <c r="H15" i="4"/>
  <c r="J15" i="4" s="1"/>
  <c r="D16" i="4"/>
  <c r="E26" i="4"/>
  <c r="F17" i="4"/>
  <c r="L26" i="4"/>
  <c r="I20" i="4"/>
  <c r="J20" i="4" s="1"/>
  <c r="N17" i="4"/>
  <c r="M26" i="4"/>
  <c r="M27" i="4" s="1"/>
  <c r="M30" i="4" s="1"/>
  <c r="I16" i="4"/>
  <c r="J13" i="4"/>
  <c r="L16" i="4"/>
  <c r="N16" i="4" s="1"/>
  <c r="J17" i="4"/>
  <c r="J22" i="4"/>
  <c r="E16" i="4"/>
  <c r="F23" i="4"/>
  <c r="I25" i="4"/>
  <c r="J25" i="4" s="1"/>
  <c r="L29" i="4"/>
  <c r="N29" i="4" s="1"/>
  <c r="F19" i="4"/>
  <c r="F22" i="4"/>
  <c r="F26" i="4"/>
  <c r="H29" i="4"/>
  <c r="J29" i="4" s="1"/>
  <c r="H39" i="4"/>
  <c r="M39" i="4"/>
  <c r="N39" i="4" s="1"/>
  <c r="I35" i="4"/>
  <c r="J35" i="4" s="1"/>
  <c r="J37" i="4"/>
  <c r="M49" i="4"/>
  <c r="M62" i="4" s="1"/>
  <c r="N61" i="4"/>
  <c r="N64" i="4"/>
  <c r="L70" i="4"/>
  <c r="J65" i="4"/>
  <c r="E75" i="4"/>
  <c r="E39" i="4"/>
  <c r="F39" i="4" s="1"/>
  <c r="I33" i="4"/>
  <c r="N35" i="4"/>
  <c r="H49" i="4"/>
  <c r="J43" i="4"/>
  <c r="L49" i="4"/>
  <c r="N48" i="4"/>
  <c r="D62" i="4"/>
  <c r="J68" i="4"/>
  <c r="J40" i="4"/>
  <c r="N40" i="4"/>
  <c r="E48" i="4"/>
  <c r="J50" i="4"/>
  <c r="N50" i="4"/>
  <c r="I64" i="4"/>
  <c r="F68" i="4"/>
  <c r="D71" i="4"/>
  <c r="L71" i="4"/>
  <c r="D72" i="4"/>
  <c r="D73" i="4"/>
  <c r="I41" i="4"/>
  <c r="I48" i="4" s="1"/>
  <c r="I44" i="4"/>
  <c r="J44" i="4" s="1"/>
  <c r="I46" i="4"/>
  <c r="J46" i="4" s="1"/>
  <c r="I51" i="4"/>
  <c r="I61" i="4" s="1"/>
  <c r="I54" i="4"/>
  <c r="J54" i="4" s="1"/>
  <c r="I57" i="4"/>
  <c r="J57" i="4" s="1"/>
  <c r="E61" i="4"/>
  <c r="F61" i="4" s="1"/>
  <c r="I66" i="4"/>
  <c r="J66" i="4" s="1"/>
  <c r="I69" i="4"/>
  <c r="J69" i="4" s="1"/>
  <c r="M70" i="4"/>
  <c r="M75" i="4" s="1"/>
  <c r="I71" i="4"/>
  <c r="I74" i="4" s="1"/>
  <c r="I75" i="4" s="1"/>
  <c r="M73" i="3"/>
  <c r="L73" i="3" s="1"/>
  <c r="N73" i="3" s="1"/>
  <c r="E73" i="3"/>
  <c r="I73" i="3" s="1"/>
  <c r="M72" i="3"/>
  <c r="L72" i="3" s="1"/>
  <c r="N72" i="3" s="1"/>
  <c r="E72" i="3"/>
  <c r="I72" i="3" s="1"/>
  <c r="M71" i="3"/>
  <c r="M74" i="3" s="1"/>
  <c r="E71" i="3"/>
  <c r="M69" i="3"/>
  <c r="L69" i="3" s="1"/>
  <c r="N69" i="3" s="1"/>
  <c r="E69" i="3"/>
  <c r="I69" i="3" s="1"/>
  <c r="M68" i="3"/>
  <c r="L68" i="3" s="1"/>
  <c r="N68" i="3" s="1"/>
  <c r="E68" i="3"/>
  <c r="I68" i="3" s="1"/>
  <c r="M67" i="3"/>
  <c r="L67" i="3" s="1"/>
  <c r="N67" i="3" s="1"/>
  <c r="E67" i="3"/>
  <c r="I67" i="3" s="1"/>
  <c r="M66" i="3"/>
  <c r="L66" i="3" s="1"/>
  <c r="N66" i="3" s="1"/>
  <c r="E66" i="3"/>
  <c r="I66" i="3" s="1"/>
  <c r="M65" i="3"/>
  <c r="L65" i="3" s="1"/>
  <c r="N65" i="3" s="1"/>
  <c r="E65" i="3"/>
  <c r="I65" i="3" s="1"/>
  <c r="M64" i="3"/>
  <c r="M70" i="3" s="1"/>
  <c r="E64" i="3"/>
  <c r="M60" i="3"/>
  <c r="L60" i="3"/>
  <c r="E60" i="3"/>
  <c r="F60" i="3" s="1"/>
  <c r="M59" i="3"/>
  <c r="N59" i="3" s="1"/>
  <c r="L59" i="3"/>
  <c r="H59" i="3"/>
  <c r="F59" i="3"/>
  <c r="E59" i="3"/>
  <c r="I59" i="3" s="1"/>
  <c r="J59" i="3" s="1"/>
  <c r="M58" i="3"/>
  <c r="E58" i="3"/>
  <c r="F58" i="3" s="1"/>
  <c r="D58" i="3"/>
  <c r="L58" i="3" s="1"/>
  <c r="M57" i="3"/>
  <c r="L57" i="3"/>
  <c r="H57" i="3"/>
  <c r="E57" i="3"/>
  <c r="F57" i="3" s="1"/>
  <c r="M56" i="3"/>
  <c r="L56" i="3"/>
  <c r="H56" i="3"/>
  <c r="E56" i="3"/>
  <c r="I56" i="3" s="1"/>
  <c r="M55" i="3"/>
  <c r="E55" i="3"/>
  <c r="I55" i="3" s="1"/>
  <c r="D55" i="3"/>
  <c r="L55" i="3" s="1"/>
  <c r="N55" i="3" s="1"/>
  <c r="M54" i="3"/>
  <c r="F54" i="3"/>
  <c r="E54" i="3"/>
  <c r="I54" i="3" s="1"/>
  <c r="D54" i="3"/>
  <c r="L54" i="3" s="1"/>
  <c r="N54" i="3" s="1"/>
  <c r="M53" i="3"/>
  <c r="E53" i="3"/>
  <c r="I53" i="3" s="1"/>
  <c r="D53" i="3"/>
  <c r="L53" i="3" s="1"/>
  <c r="N53" i="3" s="1"/>
  <c r="M52" i="3"/>
  <c r="L52" i="3"/>
  <c r="N52" i="3" s="1"/>
  <c r="H52" i="3"/>
  <c r="E52" i="3"/>
  <c r="I52" i="3" s="1"/>
  <c r="J52" i="3" s="1"/>
  <c r="M51" i="3"/>
  <c r="L51" i="3"/>
  <c r="H51" i="3"/>
  <c r="E51" i="3"/>
  <c r="F51" i="3" s="1"/>
  <c r="M50" i="3"/>
  <c r="L50" i="3"/>
  <c r="H50" i="3"/>
  <c r="E50" i="3"/>
  <c r="I50" i="3" s="1"/>
  <c r="N47" i="3"/>
  <c r="M47" i="3"/>
  <c r="E47" i="3"/>
  <c r="I47" i="3" s="1"/>
  <c r="D47" i="3"/>
  <c r="L47" i="3" s="1"/>
  <c r="M46" i="3"/>
  <c r="E46" i="3"/>
  <c r="I46" i="3" s="1"/>
  <c r="D46" i="3"/>
  <c r="L46" i="3" s="1"/>
  <c r="N46" i="3" s="1"/>
  <c r="M45" i="3"/>
  <c r="N45" i="3" s="1"/>
  <c r="E45" i="3"/>
  <c r="I45" i="3" s="1"/>
  <c r="D45" i="3"/>
  <c r="M44" i="3"/>
  <c r="E44" i="3"/>
  <c r="I44" i="3" s="1"/>
  <c r="D44" i="3"/>
  <c r="M43" i="3"/>
  <c r="I43" i="3"/>
  <c r="E43" i="3"/>
  <c r="D43" i="3"/>
  <c r="H43" i="3" s="1"/>
  <c r="M42" i="3"/>
  <c r="E42" i="3"/>
  <c r="I42" i="3" s="1"/>
  <c r="D42" i="3"/>
  <c r="F42" i="3" s="1"/>
  <c r="M41" i="3"/>
  <c r="E41" i="3"/>
  <c r="I41" i="3" s="1"/>
  <c r="D41" i="3"/>
  <c r="L41" i="3" s="1"/>
  <c r="N41" i="3" s="1"/>
  <c r="M40" i="3"/>
  <c r="F40" i="3"/>
  <c r="E40" i="3"/>
  <c r="D40" i="3"/>
  <c r="N38" i="3"/>
  <c r="G38" i="3"/>
  <c r="H38" i="3" s="1"/>
  <c r="F38" i="3"/>
  <c r="M37" i="3"/>
  <c r="E37" i="3"/>
  <c r="I37" i="3" s="1"/>
  <c r="D37" i="3"/>
  <c r="L37" i="3" s="1"/>
  <c r="M36" i="3"/>
  <c r="E36" i="3"/>
  <c r="I36" i="3" s="1"/>
  <c r="D36" i="3"/>
  <c r="L36" i="3" s="1"/>
  <c r="M35" i="3"/>
  <c r="E35" i="3"/>
  <c r="I35" i="3" s="1"/>
  <c r="D35" i="3"/>
  <c r="L35" i="3" s="1"/>
  <c r="P34" i="3"/>
  <c r="P35" i="3" s="1"/>
  <c r="M34" i="3"/>
  <c r="E34" i="3"/>
  <c r="I34" i="3" s="1"/>
  <c r="D34" i="3"/>
  <c r="L34" i="3" s="1"/>
  <c r="N34" i="3" s="1"/>
  <c r="M33" i="3"/>
  <c r="F33" i="3"/>
  <c r="E33" i="3"/>
  <c r="D33" i="3"/>
  <c r="D39" i="3" s="1"/>
  <c r="M29" i="3"/>
  <c r="E29" i="3"/>
  <c r="I29" i="3" s="1"/>
  <c r="D29" i="3"/>
  <c r="L29" i="3" s="1"/>
  <c r="N29" i="3" s="1"/>
  <c r="M25" i="3"/>
  <c r="E25" i="3"/>
  <c r="I25" i="3" s="1"/>
  <c r="D25" i="3"/>
  <c r="L25" i="3" s="1"/>
  <c r="N25" i="3" s="1"/>
  <c r="M24" i="3"/>
  <c r="F24" i="3"/>
  <c r="E24" i="3"/>
  <c r="I24" i="3" s="1"/>
  <c r="D24" i="3"/>
  <c r="L24" i="3" s="1"/>
  <c r="N24" i="3" s="1"/>
  <c r="M23" i="3"/>
  <c r="E23" i="3"/>
  <c r="I23" i="3" s="1"/>
  <c r="D23" i="3"/>
  <c r="L23" i="3" s="1"/>
  <c r="N23" i="3" s="1"/>
  <c r="M22" i="3"/>
  <c r="E22" i="3"/>
  <c r="I22" i="3" s="1"/>
  <c r="D22" i="3"/>
  <c r="L22" i="3" s="1"/>
  <c r="N22" i="3" s="1"/>
  <c r="M21" i="3"/>
  <c r="F21" i="3"/>
  <c r="E21" i="3"/>
  <c r="I21" i="3" s="1"/>
  <c r="D21" i="3"/>
  <c r="L21" i="3" s="1"/>
  <c r="N21" i="3" s="1"/>
  <c r="M20" i="3"/>
  <c r="E20" i="3"/>
  <c r="I20" i="3" s="1"/>
  <c r="D20" i="3"/>
  <c r="H20" i="3" s="1"/>
  <c r="J20" i="3" s="1"/>
  <c r="M19" i="3"/>
  <c r="E19" i="3"/>
  <c r="I19" i="3" s="1"/>
  <c r="D19" i="3"/>
  <c r="H19" i="3" s="1"/>
  <c r="J19" i="3" s="1"/>
  <c r="M18" i="3"/>
  <c r="E18" i="3"/>
  <c r="I18" i="3" s="1"/>
  <c r="D18" i="3"/>
  <c r="L18" i="3" s="1"/>
  <c r="N18" i="3" s="1"/>
  <c r="M17" i="3"/>
  <c r="E17" i="3"/>
  <c r="D17" i="3"/>
  <c r="D26" i="3" s="1"/>
  <c r="M15" i="3"/>
  <c r="L15" i="3"/>
  <c r="N15" i="3" s="1"/>
  <c r="F15" i="3"/>
  <c r="E15" i="3"/>
  <c r="I15" i="3" s="1"/>
  <c r="D15" i="3"/>
  <c r="H15" i="3" s="1"/>
  <c r="J15" i="3" s="1"/>
  <c r="N14" i="3"/>
  <c r="M14" i="3"/>
  <c r="L14" i="3"/>
  <c r="F14" i="3"/>
  <c r="E14" i="3"/>
  <c r="I14" i="3" s="1"/>
  <c r="D14" i="3"/>
  <c r="H14" i="3" s="1"/>
  <c r="J14" i="3" s="1"/>
  <c r="N13" i="3"/>
  <c r="M13" i="3"/>
  <c r="L13" i="3"/>
  <c r="E13" i="3"/>
  <c r="I13" i="3" s="1"/>
  <c r="M12" i="3"/>
  <c r="M16" i="3" s="1"/>
  <c r="L12" i="3"/>
  <c r="L16" i="3" s="1"/>
  <c r="N16" i="3" s="1"/>
  <c r="E12" i="3"/>
  <c r="D12" i="3"/>
  <c r="H12" i="3" s="1"/>
  <c r="M10" i="3"/>
  <c r="L10" i="3"/>
  <c r="N10" i="3" s="1"/>
  <c r="E10" i="3"/>
  <c r="D10" i="3"/>
  <c r="F10" i="3" s="1"/>
  <c r="M9" i="3"/>
  <c r="L9" i="3"/>
  <c r="N9" i="3" s="1"/>
  <c r="E9" i="3"/>
  <c r="I9" i="3" s="1"/>
  <c r="D9" i="3"/>
  <c r="H9" i="3" s="1"/>
  <c r="J9" i="3" s="1"/>
  <c r="M8" i="3"/>
  <c r="M11" i="3" s="1"/>
  <c r="L8" i="3"/>
  <c r="L11" i="3" s="1"/>
  <c r="N11" i="3" s="1"/>
  <c r="E8" i="3"/>
  <c r="D8" i="3"/>
  <c r="H8" i="3" s="1"/>
  <c r="J48" i="4" l="1"/>
  <c r="N71" i="4"/>
  <c r="N74" i="4" s="1"/>
  <c r="L74" i="4"/>
  <c r="L75" i="4" s="1"/>
  <c r="N75" i="4" s="1"/>
  <c r="I70" i="4"/>
  <c r="J70" i="4" s="1"/>
  <c r="J64" i="4"/>
  <c r="F48" i="4"/>
  <c r="E49" i="4"/>
  <c r="I39" i="4"/>
  <c r="I49" i="4" s="1"/>
  <c r="J33" i="4"/>
  <c r="J51" i="4"/>
  <c r="M77" i="4"/>
  <c r="J41" i="4"/>
  <c r="I26" i="4"/>
  <c r="I27" i="4" s="1"/>
  <c r="I30" i="4" s="1"/>
  <c r="F9" i="4"/>
  <c r="H9" i="4"/>
  <c r="J9" i="4" s="1"/>
  <c r="F73" i="4"/>
  <c r="H73" i="4"/>
  <c r="J73" i="4" s="1"/>
  <c r="F71" i="4"/>
  <c r="D74" i="4"/>
  <c r="D75" i="4" s="1"/>
  <c r="F75" i="4" s="1"/>
  <c r="H71" i="4"/>
  <c r="H62" i="4"/>
  <c r="J39" i="4"/>
  <c r="J26" i="4"/>
  <c r="E27" i="4"/>
  <c r="E30" i="4" s="1"/>
  <c r="J12" i="4"/>
  <c r="J16" i="4" s="1"/>
  <c r="H16" i="4"/>
  <c r="F72" i="4"/>
  <c r="H72" i="4"/>
  <c r="J72" i="4" s="1"/>
  <c r="J61" i="4"/>
  <c r="N49" i="4"/>
  <c r="L62" i="4"/>
  <c r="N70" i="4"/>
  <c r="M78" i="4"/>
  <c r="N26" i="4"/>
  <c r="L27" i="4"/>
  <c r="F16" i="4"/>
  <c r="F8" i="4"/>
  <c r="H8" i="4"/>
  <c r="D11" i="4"/>
  <c r="E11" i="3"/>
  <c r="N8" i="3"/>
  <c r="F9" i="3"/>
  <c r="F12" i="3"/>
  <c r="D13" i="3"/>
  <c r="H13" i="3" s="1"/>
  <c r="J13" i="3" s="1"/>
  <c r="M26" i="3"/>
  <c r="F20" i="3"/>
  <c r="F23" i="3"/>
  <c r="F29" i="3"/>
  <c r="E39" i="3"/>
  <c r="F45" i="3"/>
  <c r="F46" i="3"/>
  <c r="N51" i="3"/>
  <c r="F53" i="3"/>
  <c r="N56" i="3"/>
  <c r="N58" i="3"/>
  <c r="E70" i="3"/>
  <c r="E74" i="3"/>
  <c r="F26" i="3"/>
  <c r="E16" i="3"/>
  <c r="E27" i="3" s="1"/>
  <c r="E30" i="3" s="1"/>
  <c r="E26" i="3"/>
  <c r="F22" i="3"/>
  <c r="F25" i="3"/>
  <c r="M39" i="3"/>
  <c r="F34" i="3"/>
  <c r="N35" i="3"/>
  <c r="N36" i="3"/>
  <c r="N37" i="3"/>
  <c r="F41" i="3"/>
  <c r="J43" i="3"/>
  <c r="F47" i="3"/>
  <c r="F52" i="3"/>
  <c r="F55" i="3"/>
  <c r="N57" i="3"/>
  <c r="H16" i="3"/>
  <c r="H11" i="3"/>
  <c r="D11" i="3"/>
  <c r="F11" i="3" s="1"/>
  <c r="F8" i="3"/>
  <c r="N12" i="3"/>
  <c r="F13" i="3"/>
  <c r="F17" i="3"/>
  <c r="L17" i="3"/>
  <c r="H18" i="3"/>
  <c r="J18" i="3" s="1"/>
  <c r="L20" i="3"/>
  <c r="N20" i="3" s="1"/>
  <c r="H17" i="3"/>
  <c r="M27" i="3"/>
  <c r="M30" i="3" s="1"/>
  <c r="F19" i="3"/>
  <c r="L19" i="3"/>
  <c r="N19" i="3" s="1"/>
  <c r="F18" i="3"/>
  <c r="F39" i="3"/>
  <c r="H21" i="3"/>
  <c r="J21" i="3" s="1"/>
  <c r="H22" i="3"/>
  <c r="J22" i="3" s="1"/>
  <c r="H23" i="3"/>
  <c r="J23" i="3" s="1"/>
  <c r="H24" i="3"/>
  <c r="J24" i="3" s="1"/>
  <c r="H25" i="3"/>
  <c r="J25" i="3" s="1"/>
  <c r="H29" i="3"/>
  <c r="J29" i="3" s="1"/>
  <c r="H33" i="3"/>
  <c r="L33" i="3"/>
  <c r="H34" i="3"/>
  <c r="J34" i="3" s="1"/>
  <c r="F35" i="3"/>
  <c r="I8" i="3"/>
  <c r="I11" i="3" s="1"/>
  <c r="I12" i="3"/>
  <c r="I16" i="3" s="1"/>
  <c r="I17" i="3"/>
  <c r="I26" i="3" s="1"/>
  <c r="I33" i="3"/>
  <c r="I39" i="3" s="1"/>
  <c r="H35" i="3"/>
  <c r="J35" i="3" s="1"/>
  <c r="F36" i="3"/>
  <c r="F37" i="3"/>
  <c r="E48" i="3"/>
  <c r="E49" i="3" s="1"/>
  <c r="I40" i="3"/>
  <c r="I48" i="3" s="1"/>
  <c r="M48" i="3"/>
  <c r="M49" i="3" s="1"/>
  <c r="H42" i="3"/>
  <c r="J42" i="3" s="1"/>
  <c r="F44" i="3"/>
  <c r="M61" i="3"/>
  <c r="I51" i="3"/>
  <c r="E75" i="3"/>
  <c r="H36" i="3"/>
  <c r="J36" i="3" s="1"/>
  <c r="H37" i="3"/>
  <c r="J37" i="3" s="1"/>
  <c r="F43" i="3"/>
  <c r="L43" i="3"/>
  <c r="N43" i="3" s="1"/>
  <c r="J50" i="3"/>
  <c r="M75" i="3"/>
  <c r="D48" i="3"/>
  <c r="H40" i="3"/>
  <c r="L40" i="3"/>
  <c r="H41" i="3"/>
  <c r="J41" i="3" s="1"/>
  <c r="L42" i="3"/>
  <c r="N42" i="3" s="1"/>
  <c r="L61" i="3"/>
  <c r="N50" i="3"/>
  <c r="J51" i="3"/>
  <c r="J56" i="3"/>
  <c r="H44" i="3"/>
  <c r="J44" i="3" s="1"/>
  <c r="L44" i="3"/>
  <c r="N44" i="3" s="1"/>
  <c r="H45" i="3"/>
  <c r="J45" i="3" s="1"/>
  <c r="F50" i="3"/>
  <c r="F56" i="3"/>
  <c r="H58" i="3"/>
  <c r="D61" i="3"/>
  <c r="F61" i="3" s="1"/>
  <c r="D64" i="3"/>
  <c r="L64" i="3"/>
  <c r="D65" i="3"/>
  <c r="D66" i="3"/>
  <c r="D67" i="3"/>
  <c r="D68" i="3"/>
  <c r="D69" i="3"/>
  <c r="D71" i="3"/>
  <c r="L71" i="3"/>
  <c r="D72" i="3"/>
  <c r="D73" i="3"/>
  <c r="I57" i="3"/>
  <c r="J57" i="3" s="1"/>
  <c r="I58" i="3"/>
  <c r="E61" i="3"/>
  <c r="I64" i="3"/>
  <c r="I70" i="3" s="1"/>
  <c r="I71" i="3"/>
  <c r="I74" i="3" s="1"/>
  <c r="I75" i="3" s="1"/>
  <c r="H46" i="3"/>
  <c r="J46" i="3" s="1"/>
  <c r="H47" i="3"/>
  <c r="J47" i="3" s="1"/>
  <c r="H53" i="3"/>
  <c r="J53" i="3" s="1"/>
  <c r="H54" i="3"/>
  <c r="J54" i="3" s="1"/>
  <c r="H55" i="3"/>
  <c r="J55" i="3" s="1"/>
  <c r="I62" i="4" l="1"/>
  <c r="I77" i="4" s="1"/>
  <c r="J49" i="4"/>
  <c r="J62" i="4" s="1"/>
  <c r="J8" i="4"/>
  <c r="J11" i="4" s="1"/>
  <c r="J27" i="4" s="1"/>
  <c r="J30" i="4" s="1"/>
  <c r="H11" i="4"/>
  <c r="N27" i="4"/>
  <c r="L30" i="4"/>
  <c r="N30" i="4" s="1"/>
  <c r="H27" i="4"/>
  <c r="H30" i="4" s="1"/>
  <c r="F74" i="4"/>
  <c r="N62" i="4"/>
  <c r="N77" i="4" s="1"/>
  <c r="L77" i="4"/>
  <c r="J71" i="4"/>
  <c r="H74" i="4"/>
  <c r="E62" i="4"/>
  <c r="F49" i="4"/>
  <c r="F11" i="4"/>
  <c r="D27" i="4"/>
  <c r="I78" i="4"/>
  <c r="D77" i="4"/>
  <c r="M62" i="3"/>
  <c r="M77" i="3" s="1"/>
  <c r="N61" i="3"/>
  <c r="I49" i="3"/>
  <c r="I27" i="3"/>
  <c r="I30" i="3" s="1"/>
  <c r="I78" i="3" s="1"/>
  <c r="D16" i="3"/>
  <c r="I61" i="3"/>
  <c r="F73" i="3"/>
  <c r="H73" i="3"/>
  <c r="J73" i="3" s="1"/>
  <c r="F71" i="3"/>
  <c r="D74" i="3"/>
  <c r="H71" i="3"/>
  <c r="F67" i="3"/>
  <c r="H67" i="3"/>
  <c r="J67" i="3" s="1"/>
  <c r="N64" i="3"/>
  <c r="L70" i="3"/>
  <c r="N70" i="3" s="1"/>
  <c r="J58" i="3"/>
  <c r="L48" i="3"/>
  <c r="N40" i="3"/>
  <c r="E62" i="3"/>
  <c r="E77" i="3" s="1"/>
  <c r="E78" i="3" s="1"/>
  <c r="H26" i="3"/>
  <c r="H27" i="3" s="1"/>
  <c r="H30" i="3" s="1"/>
  <c r="J17" i="3"/>
  <c r="J26" i="3" s="1"/>
  <c r="J8" i="3"/>
  <c r="J11" i="3" s="1"/>
  <c r="F72" i="3"/>
  <c r="H72" i="3"/>
  <c r="J72" i="3" s="1"/>
  <c r="F69" i="3"/>
  <c r="H69" i="3"/>
  <c r="J69" i="3" s="1"/>
  <c r="F66" i="3"/>
  <c r="H66" i="3"/>
  <c r="J66" i="3" s="1"/>
  <c r="F64" i="3"/>
  <c r="D70" i="3"/>
  <c r="F70" i="3" s="1"/>
  <c r="H64" i="3"/>
  <c r="H48" i="3"/>
  <c r="J40" i="3"/>
  <c r="J61" i="3"/>
  <c r="L39" i="3"/>
  <c r="N39" i="3" s="1"/>
  <c r="N33" i="3"/>
  <c r="J12" i="3"/>
  <c r="J16" i="3" s="1"/>
  <c r="N71" i="3"/>
  <c r="N74" i="3" s="1"/>
  <c r="L74" i="3"/>
  <c r="F68" i="3"/>
  <c r="H68" i="3"/>
  <c r="J68" i="3" s="1"/>
  <c r="F65" i="3"/>
  <c r="H65" i="3"/>
  <c r="J65" i="3" s="1"/>
  <c r="D49" i="3"/>
  <c r="F48" i="3"/>
  <c r="H61" i="3"/>
  <c r="I62" i="3"/>
  <c r="I77" i="3" s="1"/>
  <c r="H39" i="3"/>
  <c r="J39" i="3" s="1"/>
  <c r="J33" i="3"/>
  <c r="M78" i="3"/>
  <c r="L26" i="3"/>
  <c r="N17" i="3"/>
  <c r="J74" i="4" l="1"/>
  <c r="H75" i="4"/>
  <c r="F27" i="4"/>
  <c r="F30" i="4" s="1"/>
  <c r="D30" i="4"/>
  <c r="E77" i="4"/>
  <c r="E78" i="4" s="1"/>
  <c r="F62" i="4"/>
  <c r="F77" i="4" s="1"/>
  <c r="L75" i="3"/>
  <c r="N75" i="3" s="1"/>
  <c r="F16" i="3"/>
  <c r="D27" i="3"/>
  <c r="F74" i="3"/>
  <c r="H49" i="3"/>
  <c r="J48" i="3"/>
  <c r="L49" i="3"/>
  <c r="N48" i="3"/>
  <c r="J71" i="3"/>
  <c r="H74" i="3"/>
  <c r="L27" i="3"/>
  <c r="N26" i="3"/>
  <c r="D62" i="3"/>
  <c r="F49" i="3"/>
  <c r="J64" i="3"/>
  <c r="H70" i="3"/>
  <c r="J70" i="3" s="1"/>
  <c r="J27" i="3"/>
  <c r="J30" i="3" s="1"/>
  <c r="D75" i="3"/>
  <c r="F75" i="3" s="1"/>
  <c r="J75" i="4" l="1"/>
  <c r="J77" i="4" s="1"/>
  <c r="H77" i="4"/>
  <c r="F27" i="3"/>
  <c r="F30" i="3" s="1"/>
  <c r="D30" i="3"/>
  <c r="L30" i="3"/>
  <c r="N30" i="3" s="1"/>
  <c r="N27" i="3"/>
  <c r="H62" i="3"/>
  <c r="J49" i="3"/>
  <c r="J62" i="3" s="1"/>
  <c r="F62" i="3"/>
  <c r="F77" i="3" s="1"/>
  <c r="D77" i="3"/>
  <c r="J74" i="3"/>
  <c r="H75" i="3"/>
  <c r="J75" i="3" s="1"/>
  <c r="L62" i="3"/>
  <c r="N49" i="3"/>
  <c r="N62" i="3" l="1"/>
  <c r="N77" i="3" s="1"/>
  <c r="L77" i="3"/>
  <c r="H77" i="3"/>
  <c r="J77" i="3"/>
  <c r="M73" i="2" l="1"/>
  <c r="L73" i="2" s="1"/>
  <c r="N73" i="2" s="1"/>
  <c r="E73" i="2"/>
  <c r="I73" i="2" s="1"/>
  <c r="M72" i="2"/>
  <c r="L72" i="2" s="1"/>
  <c r="N72" i="2" s="1"/>
  <c r="E72" i="2"/>
  <c r="I72" i="2" s="1"/>
  <c r="M71" i="2"/>
  <c r="M74" i="2" s="1"/>
  <c r="E71" i="2"/>
  <c r="E74" i="2" s="1"/>
  <c r="M69" i="2"/>
  <c r="L69" i="2" s="1"/>
  <c r="N69" i="2" s="1"/>
  <c r="E69" i="2"/>
  <c r="I69" i="2" s="1"/>
  <c r="M68" i="2"/>
  <c r="L68" i="2" s="1"/>
  <c r="N68" i="2" s="1"/>
  <c r="E68" i="2"/>
  <c r="I68" i="2" s="1"/>
  <c r="M67" i="2"/>
  <c r="L67" i="2" s="1"/>
  <c r="N67" i="2" s="1"/>
  <c r="E67" i="2"/>
  <c r="I67" i="2" s="1"/>
  <c r="D67" i="2"/>
  <c r="H67" i="2" s="1"/>
  <c r="J67" i="2" s="1"/>
  <c r="M66" i="2"/>
  <c r="L66" i="2" s="1"/>
  <c r="N66" i="2" s="1"/>
  <c r="E66" i="2"/>
  <c r="I66" i="2" s="1"/>
  <c r="M65" i="2"/>
  <c r="L65" i="2"/>
  <c r="N65" i="2" s="1"/>
  <c r="E65" i="2"/>
  <c r="I65" i="2" s="1"/>
  <c r="M64" i="2"/>
  <c r="L64" i="2" s="1"/>
  <c r="E64" i="2"/>
  <c r="D64" i="2" s="1"/>
  <c r="D61" i="2"/>
  <c r="M60" i="2"/>
  <c r="L60" i="2"/>
  <c r="E60" i="2"/>
  <c r="F60" i="2" s="1"/>
  <c r="M59" i="2"/>
  <c r="L59" i="2"/>
  <c r="H59" i="2"/>
  <c r="E59" i="2"/>
  <c r="F59" i="2" s="1"/>
  <c r="M58" i="2"/>
  <c r="L58" i="2"/>
  <c r="E58" i="2"/>
  <c r="I58" i="2" s="1"/>
  <c r="D58" i="2"/>
  <c r="H58" i="2" s="1"/>
  <c r="M57" i="2"/>
  <c r="N57" i="2" s="1"/>
  <c r="L57" i="2"/>
  <c r="H57" i="2"/>
  <c r="F57" i="2"/>
  <c r="E57" i="2"/>
  <c r="I57" i="2" s="1"/>
  <c r="M56" i="2"/>
  <c r="L56" i="2"/>
  <c r="H56" i="2"/>
  <c r="E56" i="2"/>
  <c r="I56" i="2" s="1"/>
  <c r="M55" i="2"/>
  <c r="L55" i="2"/>
  <c r="H55" i="2"/>
  <c r="E55" i="2"/>
  <c r="I55" i="2" s="1"/>
  <c r="D55" i="2"/>
  <c r="M54" i="2"/>
  <c r="L54" i="2"/>
  <c r="H54" i="2"/>
  <c r="E54" i="2"/>
  <c r="I54" i="2" s="1"/>
  <c r="D54" i="2"/>
  <c r="M53" i="2"/>
  <c r="L53" i="2"/>
  <c r="H53" i="2"/>
  <c r="E53" i="2"/>
  <c r="I53" i="2" s="1"/>
  <c r="D53" i="2"/>
  <c r="M52" i="2"/>
  <c r="L52" i="2"/>
  <c r="H52" i="2"/>
  <c r="E52" i="2"/>
  <c r="M51" i="2"/>
  <c r="L51" i="2"/>
  <c r="H51" i="2"/>
  <c r="E51" i="2"/>
  <c r="I51" i="2" s="1"/>
  <c r="M50" i="2"/>
  <c r="L50" i="2"/>
  <c r="H50" i="2"/>
  <c r="E50" i="2"/>
  <c r="M47" i="2"/>
  <c r="E47" i="2"/>
  <c r="I47" i="2" s="1"/>
  <c r="D47" i="2"/>
  <c r="M46" i="2"/>
  <c r="E46" i="2"/>
  <c r="I46" i="2" s="1"/>
  <c r="D46" i="2"/>
  <c r="M45" i="2"/>
  <c r="N45" i="2" s="1"/>
  <c r="H45" i="2"/>
  <c r="J45" i="2" s="1"/>
  <c r="E45" i="2"/>
  <c r="I45" i="2" s="1"/>
  <c r="D45" i="2"/>
  <c r="M44" i="2"/>
  <c r="E44" i="2"/>
  <c r="I44" i="2" s="1"/>
  <c r="D44" i="2"/>
  <c r="H44" i="2" s="1"/>
  <c r="M43" i="2"/>
  <c r="E43" i="2"/>
  <c r="I43" i="2" s="1"/>
  <c r="D43" i="2"/>
  <c r="H43" i="2" s="1"/>
  <c r="M42" i="2"/>
  <c r="E42" i="2"/>
  <c r="I42" i="2" s="1"/>
  <c r="D42" i="2"/>
  <c r="H42" i="2" s="1"/>
  <c r="J42" i="2" s="1"/>
  <c r="M41" i="2"/>
  <c r="E41" i="2"/>
  <c r="I41" i="2" s="1"/>
  <c r="D41" i="2"/>
  <c r="M40" i="2"/>
  <c r="E40" i="2"/>
  <c r="I40" i="2" s="1"/>
  <c r="D40" i="2"/>
  <c r="H40" i="2" s="1"/>
  <c r="N38" i="2"/>
  <c r="G38" i="2"/>
  <c r="H38" i="2" s="1"/>
  <c r="F38" i="2"/>
  <c r="M37" i="2"/>
  <c r="E37" i="2"/>
  <c r="I37" i="2" s="1"/>
  <c r="D37" i="2"/>
  <c r="L37" i="2" s="1"/>
  <c r="N37" i="2" s="1"/>
  <c r="M36" i="2"/>
  <c r="H36" i="2"/>
  <c r="E36" i="2"/>
  <c r="I36" i="2" s="1"/>
  <c r="D36" i="2"/>
  <c r="L36" i="2" s="1"/>
  <c r="N36" i="2" s="1"/>
  <c r="M35" i="2"/>
  <c r="N35" i="2" s="1"/>
  <c r="E35" i="2"/>
  <c r="I35" i="2" s="1"/>
  <c r="D35" i="2"/>
  <c r="L35" i="2" s="1"/>
  <c r="P34" i="2"/>
  <c r="P35" i="2" s="1"/>
  <c r="M34" i="2"/>
  <c r="E34" i="2"/>
  <c r="I34" i="2" s="1"/>
  <c r="D34" i="2"/>
  <c r="F34" i="2" s="1"/>
  <c r="M33" i="2"/>
  <c r="E33" i="2"/>
  <c r="D33" i="2"/>
  <c r="L33" i="2" s="1"/>
  <c r="N33" i="2" s="1"/>
  <c r="M29" i="2"/>
  <c r="E29" i="2"/>
  <c r="I29" i="2" s="1"/>
  <c r="D29" i="2"/>
  <c r="H29" i="2" s="1"/>
  <c r="J29" i="2" s="1"/>
  <c r="M25" i="2"/>
  <c r="E25" i="2"/>
  <c r="I25" i="2" s="1"/>
  <c r="D25" i="2"/>
  <c r="L25" i="2" s="1"/>
  <c r="M24" i="2"/>
  <c r="E24" i="2"/>
  <c r="I24" i="2" s="1"/>
  <c r="D24" i="2"/>
  <c r="H24" i="2" s="1"/>
  <c r="M23" i="2"/>
  <c r="E23" i="2"/>
  <c r="I23" i="2" s="1"/>
  <c r="D23" i="2"/>
  <c r="H23" i="2" s="1"/>
  <c r="M22" i="2"/>
  <c r="E22" i="2"/>
  <c r="I22" i="2" s="1"/>
  <c r="D22" i="2"/>
  <c r="L22" i="2" s="1"/>
  <c r="M21" i="2"/>
  <c r="E21" i="2"/>
  <c r="I21" i="2" s="1"/>
  <c r="D21" i="2"/>
  <c r="H21" i="2" s="1"/>
  <c r="M20" i="2"/>
  <c r="E20" i="2"/>
  <c r="I20" i="2" s="1"/>
  <c r="D20" i="2"/>
  <c r="H20" i="2" s="1"/>
  <c r="M19" i="2"/>
  <c r="E19" i="2"/>
  <c r="I19" i="2" s="1"/>
  <c r="D19" i="2"/>
  <c r="L19" i="2" s="1"/>
  <c r="N19" i="2" s="1"/>
  <c r="M18" i="2"/>
  <c r="F18" i="2"/>
  <c r="E18" i="2"/>
  <c r="I18" i="2" s="1"/>
  <c r="D18" i="2"/>
  <c r="H18" i="2" s="1"/>
  <c r="M17" i="2"/>
  <c r="E17" i="2"/>
  <c r="D17" i="2"/>
  <c r="F17" i="2" s="1"/>
  <c r="M15" i="2"/>
  <c r="L15" i="2" s="1"/>
  <c r="N15" i="2" s="1"/>
  <c r="E15" i="2"/>
  <c r="I15" i="2" s="1"/>
  <c r="M14" i="2"/>
  <c r="L14" i="2"/>
  <c r="N14" i="2" s="1"/>
  <c r="E14" i="2"/>
  <c r="I14" i="2" s="1"/>
  <c r="M13" i="2"/>
  <c r="L13" i="2" s="1"/>
  <c r="N13" i="2" s="1"/>
  <c r="E13" i="2"/>
  <c r="I13" i="2" s="1"/>
  <c r="D13" i="2"/>
  <c r="H13" i="2" s="1"/>
  <c r="M12" i="2"/>
  <c r="L12" i="2" s="1"/>
  <c r="N12" i="2" s="1"/>
  <c r="E12" i="2"/>
  <c r="E16" i="2" s="1"/>
  <c r="M10" i="2"/>
  <c r="L10" i="2"/>
  <c r="N10" i="2" s="1"/>
  <c r="E10" i="2"/>
  <c r="D10" i="2" s="1"/>
  <c r="F10" i="2" s="1"/>
  <c r="M9" i="2"/>
  <c r="L9" i="2" s="1"/>
  <c r="N9" i="2" s="1"/>
  <c r="E9" i="2"/>
  <c r="I9" i="2" s="1"/>
  <c r="D9" i="2"/>
  <c r="H9" i="2" s="1"/>
  <c r="M8" i="2"/>
  <c r="L8" i="2" s="1"/>
  <c r="L11" i="2" s="1"/>
  <c r="E8" i="2"/>
  <c r="E11" i="2" s="1"/>
  <c r="H64" i="2" l="1"/>
  <c r="F64" i="2"/>
  <c r="D14" i="2"/>
  <c r="H14" i="2" s="1"/>
  <c r="J14" i="2" s="1"/>
  <c r="J18" i="2"/>
  <c r="E39" i="2"/>
  <c r="H37" i="2"/>
  <c r="J37" i="2" s="1"/>
  <c r="F45" i="2"/>
  <c r="F51" i="2"/>
  <c r="N52" i="2"/>
  <c r="N55" i="2"/>
  <c r="F56" i="2"/>
  <c r="N56" i="2"/>
  <c r="J57" i="2"/>
  <c r="N59" i="2"/>
  <c r="D65" i="2"/>
  <c r="F65" i="2" s="1"/>
  <c r="D72" i="2"/>
  <c r="D73" i="2"/>
  <c r="D8" i="2"/>
  <c r="D11" i="2" s="1"/>
  <c r="M11" i="2"/>
  <c r="D12" i="2"/>
  <c r="M16" i="2"/>
  <c r="D15" i="2"/>
  <c r="H15" i="2" s="1"/>
  <c r="J20" i="2"/>
  <c r="J21" i="2"/>
  <c r="J51" i="2"/>
  <c r="D66" i="2"/>
  <c r="H66" i="2" s="1"/>
  <c r="J66" i="2" s="1"/>
  <c r="L20" i="2"/>
  <c r="N20" i="2" s="1"/>
  <c r="L21" i="2"/>
  <c r="N21" i="2" s="1"/>
  <c r="L40" i="2"/>
  <c r="N40" i="2" s="1"/>
  <c r="D48" i="2"/>
  <c r="E48" i="2"/>
  <c r="E49" i="2" s="1"/>
  <c r="F23" i="2"/>
  <c r="F24" i="2"/>
  <c r="N25" i="2"/>
  <c r="F33" i="2"/>
  <c r="F35" i="2"/>
  <c r="J36" i="2"/>
  <c r="I48" i="2"/>
  <c r="F43" i="2"/>
  <c r="F44" i="2"/>
  <c r="F58" i="2"/>
  <c r="L16" i="2"/>
  <c r="N16" i="2" s="1"/>
  <c r="D26" i="2"/>
  <c r="L17" i="2"/>
  <c r="N17" i="2" s="1"/>
  <c r="L18" i="2"/>
  <c r="N18" i="2" s="1"/>
  <c r="N8" i="2"/>
  <c r="F9" i="2"/>
  <c r="F12" i="2"/>
  <c r="F13" i="2"/>
  <c r="F14" i="2"/>
  <c r="F15" i="2"/>
  <c r="E26" i="2"/>
  <c r="M26" i="2"/>
  <c r="M27" i="2" s="1"/>
  <c r="M30" i="2" s="1"/>
  <c r="F20" i="2"/>
  <c r="F21" i="2"/>
  <c r="N22" i="2"/>
  <c r="J23" i="2"/>
  <c r="L23" i="2"/>
  <c r="N23" i="2" s="1"/>
  <c r="J24" i="2"/>
  <c r="L24" i="2"/>
  <c r="N24" i="2" s="1"/>
  <c r="F40" i="2"/>
  <c r="F41" i="2"/>
  <c r="J43" i="2"/>
  <c r="L43" i="2"/>
  <c r="N43" i="2" s="1"/>
  <c r="J44" i="2"/>
  <c r="L44" i="2"/>
  <c r="N44" i="2" s="1"/>
  <c r="N53" i="2"/>
  <c r="J55" i="2"/>
  <c r="J56" i="2"/>
  <c r="J58" i="2"/>
  <c r="N58" i="2"/>
  <c r="E70" i="2"/>
  <c r="M70" i="2"/>
  <c r="M75" i="2" s="1"/>
  <c r="H65" i="2"/>
  <c r="J65" i="2" s="1"/>
  <c r="F66" i="2"/>
  <c r="F67" i="2"/>
  <c r="D68" i="2"/>
  <c r="D69" i="2"/>
  <c r="D71" i="2"/>
  <c r="L71" i="2"/>
  <c r="N71" i="2" s="1"/>
  <c r="N74" i="2" s="1"/>
  <c r="F26" i="2"/>
  <c r="F11" i="2"/>
  <c r="N11" i="2"/>
  <c r="J9" i="2"/>
  <c r="J13" i="2"/>
  <c r="J15" i="2"/>
  <c r="E27" i="2"/>
  <c r="E30" i="2" s="1"/>
  <c r="H19" i="2"/>
  <c r="J19" i="2" s="1"/>
  <c r="H22" i="2"/>
  <c r="J22" i="2" s="1"/>
  <c r="H25" i="2"/>
  <c r="J25" i="2" s="1"/>
  <c r="H34" i="2"/>
  <c r="J34" i="2" s="1"/>
  <c r="J40" i="2"/>
  <c r="F47" i="2"/>
  <c r="H47" i="2"/>
  <c r="J47" i="2" s="1"/>
  <c r="L47" i="2"/>
  <c r="N47" i="2" s="1"/>
  <c r="L61" i="2"/>
  <c r="N51" i="2"/>
  <c r="L70" i="2"/>
  <c r="N70" i="2" s="1"/>
  <c r="N64" i="2"/>
  <c r="H12" i="2"/>
  <c r="L29" i="2"/>
  <c r="N29" i="2" s="1"/>
  <c r="F29" i="2"/>
  <c r="L34" i="2"/>
  <c r="N34" i="2" s="1"/>
  <c r="H41" i="2"/>
  <c r="J41" i="2" s="1"/>
  <c r="L42" i="2"/>
  <c r="N42" i="2" s="1"/>
  <c r="F42" i="2"/>
  <c r="F46" i="2"/>
  <c r="H46" i="2"/>
  <c r="J46" i="2" s="1"/>
  <c r="L46" i="2"/>
  <c r="N46" i="2" s="1"/>
  <c r="E61" i="2"/>
  <c r="I50" i="2"/>
  <c r="M61" i="2"/>
  <c r="J54" i="2"/>
  <c r="H61" i="2"/>
  <c r="I8" i="2"/>
  <c r="I11" i="2" s="1"/>
  <c r="I12" i="2"/>
  <c r="I16" i="2" s="1"/>
  <c r="H17" i="2"/>
  <c r="F19" i="2"/>
  <c r="F22" i="2"/>
  <c r="F25" i="2"/>
  <c r="D39" i="2"/>
  <c r="F39" i="2" s="1"/>
  <c r="L41" i="2"/>
  <c r="N41" i="2" s="1"/>
  <c r="F50" i="2"/>
  <c r="N50" i="2"/>
  <c r="F52" i="2"/>
  <c r="I52" i="2"/>
  <c r="J52" i="2" s="1"/>
  <c r="J53" i="2"/>
  <c r="N54" i="2"/>
  <c r="I59" i="2"/>
  <c r="J59" i="2" s="1"/>
  <c r="I17" i="2"/>
  <c r="I26" i="2" s="1"/>
  <c r="H33" i="2"/>
  <c r="M39" i="2"/>
  <c r="F36" i="2"/>
  <c r="F37" i="2"/>
  <c r="M48" i="2"/>
  <c r="M49" i="2" s="1"/>
  <c r="F53" i="2"/>
  <c r="F54" i="2"/>
  <c r="F55" i="2"/>
  <c r="E75" i="2"/>
  <c r="I33" i="2"/>
  <c r="I39" i="2" s="1"/>
  <c r="I49" i="2" s="1"/>
  <c r="H35" i="2"/>
  <c r="J35" i="2" s="1"/>
  <c r="I64" i="2"/>
  <c r="I70" i="2" s="1"/>
  <c r="I71" i="2"/>
  <c r="I74" i="2" s="1"/>
  <c r="I75" i="2" s="1"/>
  <c r="I27" i="2" l="1"/>
  <c r="I30" i="2" s="1"/>
  <c r="H8" i="2"/>
  <c r="H11" i="2" s="1"/>
  <c r="D16" i="2"/>
  <c r="H73" i="2"/>
  <c r="J73" i="2" s="1"/>
  <c r="F73" i="2"/>
  <c r="M62" i="2"/>
  <c r="L74" i="2"/>
  <c r="L75" i="2" s="1"/>
  <c r="F8" i="2"/>
  <c r="F72" i="2"/>
  <c r="H72" i="2"/>
  <c r="J72" i="2" s="1"/>
  <c r="M77" i="2"/>
  <c r="L39" i="2"/>
  <c r="N61" i="2"/>
  <c r="L26" i="2"/>
  <c r="N26" i="2" s="1"/>
  <c r="F48" i="2"/>
  <c r="H70" i="2"/>
  <c r="H69" i="2"/>
  <c r="J69" i="2" s="1"/>
  <c r="F69" i="2"/>
  <c r="N75" i="2"/>
  <c r="J64" i="2"/>
  <c r="F68" i="2"/>
  <c r="H68" i="2"/>
  <c r="J68" i="2" s="1"/>
  <c r="D70" i="2"/>
  <c r="F70" i="2" s="1"/>
  <c r="E62" i="2"/>
  <c r="E77" i="2" s="1"/>
  <c r="E78" i="2" s="1"/>
  <c r="H71" i="2"/>
  <c r="H74" i="2" s="1"/>
  <c r="F71" i="2"/>
  <c r="F74" i="2" s="1"/>
  <c r="D74" i="2"/>
  <c r="J8" i="2"/>
  <c r="J11" i="2" s="1"/>
  <c r="F61" i="2"/>
  <c r="H75" i="2"/>
  <c r="J75" i="2" s="1"/>
  <c r="J74" i="2"/>
  <c r="M78" i="2"/>
  <c r="N39" i="2"/>
  <c r="L27" i="2"/>
  <c r="L48" i="2"/>
  <c r="J71" i="2"/>
  <c r="J33" i="2"/>
  <c r="H39" i="2"/>
  <c r="J39" i="2" s="1"/>
  <c r="H26" i="2"/>
  <c r="J17" i="2"/>
  <c r="J26" i="2" s="1"/>
  <c r="I61" i="2"/>
  <c r="I62" i="2" s="1"/>
  <c r="I77" i="2" s="1"/>
  <c r="I78" i="2" s="1"/>
  <c r="J50" i="2"/>
  <c r="J61" i="2" s="1"/>
  <c r="H16" i="2"/>
  <c r="J12" i="2"/>
  <c r="J16" i="2" s="1"/>
  <c r="H48" i="2"/>
  <c r="D49" i="2"/>
  <c r="J70" i="2"/>
  <c r="D75" i="2" l="1"/>
  <c r="F75" i="2" s="1"/>
  <c r="D27" i="2"/>
  <c r="F16" i="2"/>
  <c r="N27" i="2"/>
  <c r="L30" i="2"/>
  <c r="N30" i="2" s="1"/>
  <c r="J27" i="2"/>
  <c r="J30" i="2" s="1"/>
  <c r="J48" i="2"/>
  <c r="H49" i="2"/>
  <c r="H27" i="2"/>
  <c r="H30" i="2" s="1"/>
  <c r="F49" i="2"/>
  <c r="D62" i="2"/>
  <c r="N48" i="2"/>
  <c r="L49" i="2"/>
  <c r="F27" i="2" l="1"/>
  <c r="F30" i="2" s="1"/>
  <c r="D30" i="2"/>
  <c r="N49" i="2"/>
  <c r="L62" i="2"/>
  <c r="F62" i="2"/>
  <c r="F77" i="2" s="1"/>
  <c r="D77" i="2"/>
  <c r="J49" i="2"/>
  <c r="J62" i="2" s="1"/>
  <c r="J77" i="2" s="1"/>
  <c r="H62" i="2"/>
  <c r="H77" i="2" s="1"/>
  <c r="L77" i="2" l="1"/>
  <c r="N62" i="2"/>
  <c r="N77" i="2" s="1"/>
</calcChain>
</file>

<file path=xl/sharedStrings.xml><?xml version="1.0" encoding="utf-8"?>
<sst xmlns="http://schemas.openxmlformats.org/spreadsheetml/2006/main" count="294" uniqueCount="107">
  <si>
    <t>UNIVERSIDAD AUTONOMA DE CHIHUAHUA</t>
  </si>
  <si>
    <t>COMPARATIVO PRESUPUESTAL POR FONDOS</t>
  </si>
  <si>
    <t>EJERCICIO 2 0 1 1</t>
  </si>
  <si>
    <t>DICIEMBRE DEL 2011</t>
  </si>
  <si>
    <t>ACUMULADO AL MES DE DICIEMBRE DEL 2003</t>
  </si>
  <si>
    <t xml:space="preserve"> ACUMULADO A DICIEMBRE  2011</t>
  </si>
  <si>
    <t>PRESUPUESTO</t>
  </si>
  <si>
    <t>R E A L</t>
  </si>
  <si>
    <t>DIFERENCIA</t>
  </si>
  <si>
    <t>I  N  G  R  E  S  O  S:</t>
  </si>
  <si>
    <t>Subsidio Federal</t>
  </si>
  <si>
    <t xml:space="preserve"> I</t>
  </si>
  <si>
    <t>PROVISION DE LO PENDIENTE POR RECIBIR</t>
  </si>
  <si>
    <t>Subsidio Estatal</t>
  </si>
  <si>
    <t>II</t>
  </si>
  <si>
    <t>Subsidio Estatal Extraordinario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</si>
  <si>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</si>
  <si>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</si>
  <si>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</si>
  <si>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</si>
  <si>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</si>
  <si>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</si>
  <si>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</si>
  <si>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 xml:space="preserve"> III</t>
  </si>
  <si>
    <t>I</t>
  </si>
  <si>
    <t>PARA EL PRESUPUESTO SE TOMÓ 5% Y LO REAL 4%</t>
  </si>
  <si>
    <t>Insc., Coleg. y Exámenes Licenciatura</t>
  </si>
  <si>
    <t>Servicios Académicos y Profesionales</t>
  </si>
  <si>
    <t>IV</t>
  </si>
  <si>
    <t>III</t>
  </si>
  <si>
    <t>RECIBIMOS MAS D ELO PRESUPUESTADO DEBIDO A Q EL AÑO PASADO NO SE TENIA EL PROGRAMA ESPECIAL DE TITULACION Y EL 2011 SI</t>
  </si>
  <si>
    <t>Cuotas por Incorporación</t>
  </si>
  <si>
    <t>V</t>
  </si>
  <si>
    <t>SE QUEDÓ POR ENCIMA DE LO QUE SE PRESUPUESTO, se recibió 1109000 de escuelas incorporadas</t>
  </si>
  <si>
    <t>Donativos en Efectivo</t>
  </si>
  <si>
    <t>Impuesto Universitario Municipal</t>
  </si>
  <si>
    <t xml:space="preserve"> VI</t>
  </si>
  <si>
    <t>condicionado a las aportaciones del municipio por lo que el presupuesto se elaboró ne base al presupuesto de 2010 +5%</t>
  </si>
  <si>
    <t>Rendimientos Financieros</t>
  </si>
  <si>
    <t>Venta de Productos</t>
  </si>
  <si>
    <t>Otros Ingresos</t>
  </si>
  <si>
    <t>VII</t>
  </si>
  <si>
    <t>VI</t>
  </si>
  <si>
    <t>debido a los ingresos q se  recibieron ver punto f y lo de la carta del mes pasado</t>
  </si>
  <si>
    <t>SUMA INGRESOS PROPIOS</t>
  </si>
  <si>
    <t>T O T A L    I N G R E S O S</t>
  </si>
  <si>
    <t>BECAS  Y  CONDONACIONES</t>
  </si>
  <si>
    <t>I N G R E S O S   N E T O S</t>
  </si>
  <si>
    <t>FONDO GENÉRICO</t>
  </si>
  <si>
    <t>E  G  R  E  S  O  S:</t>
  </si>
  <si>
    <t>Servicios Personales</t>
  </si>
  <si>
    <t xml:space="preserve"> VIII</t>
  </si>
  <si>
    <t>pensiones y sueldos ver punto g donde se aumentan 577 empleados ver carta año pasado para redactar</t>
  </si>
  <si>
    <t>Servicios Generales</t>
  </si>
  <si>
    <t>IX</t>
  </si>
  <si>
    <t>VIII</t>
  </si>
  <si>
    <t>se gasto mas cfe 3000000, difusion de avisos y publicaciones oficiales por 2000000, y los pasajes por $1300000, estudios e investigaciones por $1,400000 y seguros y fianzas por $1,000000</t>
  </si>
  <si>
    <t>Materiales de Consumo</t>
  </si>
  <si>
    <t>X</t>
  </si>
  <si>
    <t>disminuyó papeleria por $1,200,000, material para computadora y copiadoras y material didactico $1,500,000, y 3,000,000 de materiales, insumos y suministros, combustibles y lubricantes medicinas y productos farmaceuticos plagicidas entre otros y el 1% de mas de lo presupuestado y lo de la carta del mes pasado</t>
  </si>
  <si>
    <t>Mantenimiento y Conservación</t>
  </si>
  <si>
    <t>XI</t>
  </si>
  <si>
    <t xml:space="preserve">no se realizaron remodelaciones y pagos ocmo se habia presupuestado y adecuaciones </t>
  </si>
  <si>
    <t>Apoyos</t>
  </si>
  <si>
    <t>XII</t>
  </si>
  <si>
    <t>ser recibieron menos apoyos de los presupuestados, ver carta del año pasado en el punto VII</t>
  </si>
  <si>
    <t>Transferencia entre fondos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</si>
  <si>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</si>
  <si>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</si>
  <si>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</si>
  <si>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</si>
  <si>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</si>
  <si>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</si>
  <si>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</si>
  <si>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</si>
  <si>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</si>
  <si>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</si>
  <si>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</si>
  <si>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</si>
  <si>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</si>
  <si>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</si>
  <si>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</si>
  <si>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XIII</t>
  </si>
  <si>
    <t>el presupuesto se dejó conciliado con lo que se autorizó, en meses pasados no se desfasaron porq se percataron de un error y les faltó calendarizarlo por mes</t>
  </si>
  <si>
    <t>Maquinaria</t>
  </si>
  <si>
    <t>Mobiliario y Equipo Oficina</t>
  </si>
  <si>
    <t>Mobiliario y Equipo Académico</t>
  </si>
  <si>
    <t>Equipo de Transporte</t>
  </si>
  <si>
    <t>Equipo de Cómputo</t>
  </si>
  <si>
    <t>Pié de Cría</t>
  </si>
  <si>
    <t>Otras Inversiones</t>
  </si>
  <si>
    <t>SUMA INVERSIONES</t>
  </si>
  <si>
    <t>TOTAL  EGRESOS F. GENÉRICO</t>
  </si>
  <si>
    <t>FONDO ESPECÍFICO</t>
  </si>
  <si>
    <t>Material de Consumo</t>
  </si>
  <si>
    <t>Becas Económicas</t>
  </si>
  <si>
    <t>SUMAN GASTOS DE OPERACIÓN</t>
  </si>
  <si>
    <t>Mobiliario y Equipo</t>
  </si>
  <si>
    <t>Otros</t>
  </si>
  <si>
    <t>SUMAN  INVERSIONES</t>
  </si>
  <si>
    <t>TOTAL EGRESOS F. ESPECIFICOS</t>
  </si>
  <si>
    <t>T O T A L    E G R E S O S</t>
  </si>
  <si>
    <t xml:space="preserve">REMANENTE  (DEFICIT) </t>
  </si>
  <si>
    <t>OCTUBRE DEL 2011</t>
  </si>
  <si>
    <t xml:space="preserve"> ACUMULADO A OCTUBRE 2011</t>
  </si>
  <si>
    <t>NOVIEMBRE DEL 2011</t>
  </si>
  <si>
    <t xml:space="preserve"> ACUMULADO A NOVIEMBRE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</si>
</sst>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_-&quot;$&quot;* #,##0_-;\-&quot;$&quot;* #,##0_-;_-&quot;$&quot;* &quot;-&quot;??_-;_-@_-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b/>
      <i/>
      <u/>
      <sz val="9"/>
      <name val="Arial"/>
      <family val="2"/>
    </font>
    <font>
      <b/>
      <sz val="9"/>
      <color indexed="8"/>
      <name val="Arial"/>
      <family val="2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u/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2" fillId="0" borderId="0"/>
  </cellStyleXfs>
  <cellXfs count="309">
    <xf numFmtId="0" fontId="0" fillId="0" borderId="0" xfId="0"/>
    <xf numFmtId="0" fontId="4" fillId="0" borderId="0" xfId="3" applyFont="1"/>
    <xf numFmtId="4" fontId="3" fillId="0" borderId="0" xfId="3" applyNumberFormat="1" applyFont="1" applyBorder="1" applyAlignment="1">
      <alignment horizontal="center"/>
    </xf>
    <xf numFmtId="0" fontId="5" fillId="0" borderId="0" xfId="3" applyFont="1"/>
    <xf numFmtId="0" fontId="4" fillId="0" borderId="6" xfId="3" applyFont="1" applyBorder="1"/>
    <xf numFmtId="0" fontId="4" fillId="0" borderId="7" xfId="3" applyFont="1" applyBorder="1"/>
    <xf numFmtId="3" fontId="4" fillId="0" borderId="7" xfId="1" applyNumberFormat="1" applyFont="1" applyBorder="1"/>
    <xf numFmtId="3" fontId="4" fillId="0" borderId="8" xfId="1" applyNumberFormat="1" applyFont="1" applyBorder="1"/>
    <xf numFmtId="3" fontId="6" fillId="0" borderId="7" xfId="3" applyNumberFormat="1" applyFont="1" applyBorder="1"/>
    <xf numFmtId="3" fontId="4" fillId="0" borderId="6" xfId="1" applyNumberFormat="1" applyFont="1" applyBorder="1"/>
    <xf numFmtId="3" fontId="4" fillId="0" borderId="7" xfId="3" applyNumberFormat="1" applyFont="1" applyBorder="1"/>
    <xf numFmtId="0" fontId="4" fillId="0" borderId="8" xfId="3" applyFont="1" applyBorder="1"/>
    <xf numFmtId="0" fontId="3" fillId="0" borderId="7" xfId="3" applyFont="1" applyBorder="1" applyAlignment="1">
      <alignment horizontal="center"/>
    </xf>
    <xf numFmtId="0" fontId="4" fillId="0" borderId="9" xfId="3" applyFont="1" applyBorder="1"/>
    <xf numFmtId="0" fontId="4" fillId="0" borderId="10" xfId="3" applyFont="1" applyBorder="1"/>
    <xf numFmtId="0" fontId="4" fillId="0" borderId="11" xfId="3" applyFont="1" applyBorder="1"/>
    <xf numFmtId="4" fontId="7" fillId="0" borderId="7" xfId="3" applyNumberFormat="1" applyFont="1" applyBorder="1" applyAlignment="1">
      <alignment horizontal="centerContinuous"/>
    </xf>
    <xf numFmtId="3" fontId="3" fillId="2" borderId="6" xfId="1" applyNumberFormat="1" applyFont="1" applyFill="1" applyBorder="1" applyAlignment="1">
      <alignment horizontal="centerContinuous"/>
    </xf>
    <xf numFmtId="3" fontId="3" fillId="2" borderId="7" xfId="1" applyNumberFormat="1" applyFont="1" applyFill="1" applyBorder="1" applyAlignment="1">
      <alignment horizontal="centerContinuous"/>
    </xf>
    <xf numFmtId="3" fontId="3" fillId="2" borderId="8" xfId="1" applyNumberFormat="1" applyFont="1" applyFill="1" applyBorder="1" applyAlignment="1">
      <alignment horizontal="centerContinuous"/>
    </xf>
    <xf numFmtId="0" fontId="3" fillId="0" borderId="8" xfId="3" applyFont="1" applyBorder="1" applyAlignment="1">
      <alignment horizontal="center"/>
    </xf>
    <xf numFmtId="0" fontId="3" fillId="0" borderId="4" xfId="3" applyFont="1" applyBorder="1"/>
    <xf numFmtId="0" fontId="3" fillId="0" borderId="0" xfId="3" applyFont="1" applyBorder="1"/>
    <xf numFmtId="0" fontId="3" fillId="0" borderId="5" xfId="3" applyFont="1" applyBorder="1"/>
    <xf numFmtId="3" fontId="3" fillId="0" borderId="12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/>
    </xf>
    <xf numFmtId="3" fontId="3" fillId="0" borderId="14" xfId="1" applyNumberFormat="1" applyFont="1" applyBorder="1" applyAlignment="1">
      <alignment horizontal="center"/>
    </xf>
    <xf numFmtId="0" fontId="4" fillId="3" borderId="0" xfId="3" applyFont="1" applyFill="1" applyBorder="1" applyAlignment="1">
      <alignment horizontal="centerContinuous"/>
    </xf>
    <xf numFmtId="3" fontId="3" fillId="0" borderId="15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8" fillId="0" borderId="4" xfId="3" applyFont="1" applyBorder="1" applyAlignment="1">
      <alignment horizontal="centerContinuous"/>
    </xf>
    <xf numFmtId="0" fontId="3" fillId="0" borderId="0" xfId="3" applyFont="1" applyBorder="1" applyAlignment="1">
      <alignment horizontal="centerContinuous"/>
    </xf>
    <xf numFmtId="0" fontId="3" fillId="0" borderId="5" xfId="3" applyFont="1" applyBorder="1" applyAlignment="1">
      <alignment horizontal="centerContinuous"/>
    </xf>
    <xf numFmtId="3" fontId="4" fillId="0" borderId="4" xfId="1" applyNumberFormat="1" applyFont="1" applyBorder="1"/>
    <xf numFmtId="3" fontId="4" fillId="0" borderId="17" xfId="1" applyNumberFormat="1" applyFont="1" applyBorder="1"/>
    <xf numFmtId="3" fontId="4" fillId="0" borderId="5" xfId="1" applyNumberFormat="1" applyFont="1" applyBorder="1"/>
    <xf numFmtId="3" fontId="4" fillId="0" borderId="18" xfId="1" applyNumberFormat="1" applyFont="1" applyBorder="1"/>
    <xf numFmtId="3" fontId="4" fillId="0" borderId="19" xfId="1" applyNumberFormat="1" applyFont="1" applyBorder="1"/>
    <xf numFmtId="0" fontId="4" fillId="0" borderId="4" xfId="3" applyFont="1" applyBorder="1"/>
    <xf numFmtId="0" fontId="4" fillId="0" borderId="0" xfId="3" applyFont="1" applyBorder="1"/>
    <xf numFmtId="0" fontId="4" fillId="0" borderId="5" xfId="3" applyFont="1" applyBorder="1"/>
    <xf numFmtId="166" fontId="4" fillId="0" borderId="4" xfId="2" applyNumberFormat="1" applyFont="1" applyFill="1" applyBorder="1"/>
    <xf numFmtId="166" fontId="4" fillId="0" borderId="17" xfId="2" applyNumberFormat="1" applyFont="1" applyBorder="1"/>
    <xf numFmtId="166" fontId="4" fillId="0" borderId="5" xfId="2" applyNumberFormat="1" applyFont="1" applyBorder="1"/>
    <xf numFmtId="166" fontId="4" fillId="0" borderId="18" xfId="2" applyNumberFormat="1" applyFont="1" applyBorder="1"/>
    <xf numFmtId="166" fontId="4" fillId="0" borderId="19" xfId="2" applyNumberFormat="1" applyFont="1" applyBorder="1"/>
    <xf numFmtId="3" fontId="4" fillId="0" borderId="4" xfId="1" applyNumberFormat="1" applyFont="1" applyFill="1" applyBorder="1"/>
    <xf numFmtId="167" fontId="4" fillId="0" borderId="5" xfId="1" applyNumberFormat="1" applyFont="1" applyBorder="1"/>
    <xf numFmtId="167" fontId="4" fillId="0" borderId="18" xfId="1" applyNumberFormat="1" applyFont="1" applyBorder="1"/>
    <xf numFmtId="167" fontId="4" fillId="0" borderId="19" xfId="1" applyNumberFormat="1" applyFont="1" applyBorder="1"/>
    <xf numFmtId="164" fontId="4" fillId="0" borderId="4" xfId="1" applyFont="1" applyBorder="1"/>
    <xf numFmtId="164" fontId="4" fillId="0" borderId="17" xfId="1" applyFont="1" applyBorder="1"/>
    <xf numFmtId="164" fontId="4" fillId="0" borderId="5" xfId="1" applyFont="1" applyBorder="1"/>
    <xf numFmtId="164" fontId="4" fillId="3" borderId="0" xfId="1" applyFont="1" applyFill="1" applyBorder="1" applyAlignment="1">
      <alignment horizontal="centerContinuous"/>
    </xf>
    <xf numFmtId="164" fontId="4" fillId="0" borderId="18" xfId="1" applyFont="1" applyBorder="1"/>
    <xf numFmtId="164" fontId="4" fillId="0" borderId="19" xfId="1" applyFont="1" applyBorder="1"/>
    <xf numFmtId="164" fontId="3" fillId="0" borderId="5" xfId="1" applyFont="1" applyBorder="1" applyAlignment="1">
      <alignment horizontal="center"/>
    </xf>
    <xf numFmtId="3" fontId="3" fillId="0" borderId="20" xfId="1" applyNumberFormat="1" applyFont="1" applyBorder="1"/>
    <xf numFmtId="3" fontId="3" fillId="0" borderId="21" xfId="1" applyNumberFormat="1" applyFont="1" applyBorder="1"/>
    <xf numFmtId="167" fontId="3" fillId="0" borderId="22" xfId="1" applyNumberFormat="1" applyFont="1" applyBorder="1"/>
    <xf numFmtId="0" fontId="3" fillId="3" borderId="0" xfId="3" applyFont="1" applyFill="1" applyBorder="1" applyAlignment="1">
      <alignment horizontal="centerContinuous"/>
    </xf>
    <xf numFmtId="3" fontId="3" fillId="0" borderId="23" xfId="1" applyNumberFormat="1" applyFont="1" applyBorder="1"/>
    <xf numFmtId="167" fontId="3" fillId="0" borderId="24" xfId="1" applyNumberFormat="1" applyFont="1" applyBorder="1"/>
    <xf numFmtId="166" fontId="4" fillId="0" borderId="4" xfId="2" applyNumberFormat="1" applyFont="1" applyBorder="1"/>
    <xf numFmtId="167" fontId="4" fillId="0" borderId="4" xfId="1" applyNumberFormat="1" applyFont="1" applyBorder="1"/>
    <xf numFmtId="167" fontId="4" fillId="0" borderId="17" xfId="1" applyNumberFormat="1" applyFont="1" applyBorder="1"/>
    <xf numFmtId="167" fontId="9" fillId="0" borderId="4" xfId="1" applyNumberFormat="1" applyFont="1" applyBorder="1"/>
    <xf numFmtId="167" fontId="9" fillId="0" borderId="4" xfId="1" applyNumberFormat="1" applyFont="1" applyFill="1" applyBorder="1"/>
    <xf numFmtId="3" fontId="4" fillId="0" borderId="17" xfId="1" applyNumberFormat="1" applyFont="1" applyFill="1" applyBorder="1"/>
    <xf numFmtId="167" fontId="4" fillId="0" borderId="5" xfId="1" applyNumberFormat="1" applyFont="1" applyFill="1" applyBorder="1"/>
    <xf numFmtId="0" fontId="4" fillId="0" borderId="0" xfId="3" applyFont="1" applyFill="1" applyBorder="1" applyAlignment="1">
      <alignment horizontal="centerContinuous"/>
    </xf>
    <xf numFmtId="3" fontId="4" fillId="0" borderId="15" xfId="1" applyNumberFormat="1" applyFont="1" applyFill="1" applyBorder="1"/>
    <xf numFmtId="167" fontId="4" fillId="0" borderId="19" xfId="1" applyNumberFormat="1" applyFont="1" applyFill="1" applyBorder="1"/>
    <xf numFmtId="0" fontId="3" fillId="0" borderId="5" xfId="3" applyFont="1" applyFill="1" applyBorder="1" applyAlignment="1">
      <alignment horizontal="center"/>
    </xf>
    <xf numFmtId="166" fontId="3" fillId="2" borderId="20" xfId="2" applyNumberFormat="1" applyFont="1" applyFill="1" applyBorder="1"/>
    <xf numFmtId="166" fontId="3" fillId="2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5" xfId="2" applyNumberFormat="1" applyFont="1" applyFill="1" applyBorder="1"/>
    <xf numFmtId="166" fontId="3" fillId="0" borderId="20" xfId="2" applyNumberFormat="1" applyFont="1" applyFill="1" applyBorder="1"/>
    <xf numFmtId="166" fontId="3" fillId="0" borderId="21" xfId="2" applyNumberFormat="1" applyFont="1" applyFill="1" applyBorder="1"/>
    <xf numFmtId="166" fontId="3" fillId="0" borderId="22" xfId="2" applyNumberFormat="1" applyFont="1" applyFill="1" applyBorder="1"/>
    <xf numFmtId="166" fontId="3" fillId="2" borderId="26" xfId="2" applyNumberFormat="1" applyFont="1" applyFill="1" applyBorder="1"/>
    <xf numFmtId="3" fontId="9" fillId="0" borderId="20" xfId="1" applyNumberFormat="1" applyFont="1" applyBorder="1"/>
    <xf numFmtId="3" fontId="4" fillId="0" borderId="21" xfId="1" applyNumberFormat="1" applyFont="1" applyBorder="1"/>
    <xf numFmtId="166" fontId="4" fillId="0" borderId="22" xfId="2" applyNumberFormat="1" applyFont="1" applyBorder="1"/>
    <xf numFmtId="166" fontId="4" fillId="0" borderId="24" xfId="2" applyNumberFormat="1" applyFont="1" applyBorder="1"/>
    <xf numFmtId="3" fontId="4" fillId="0" borderId="20" xfId="1" applyNumberFormat="1" applyFont="1" applyBorder="1"/>
    <xf numFmtId="0" fontId="10" fillId="0" borderId="4" xfId="3" applyFont="1" applyBorder="1"/>
    <xf numFmtId="3" fontId="4" fillId="0" borderId="27" xfId="1" applyNumberFormat="1" applyFont="1" applyBorder="1"/>
    <xf numFmtId="0" fontId="4" fillId="0" borderId="0" xfId="3" applyFont="1" applyBorder="1" applyAlignment="1">
      <alignment horizontal="centerContinuous"/>
    </xf>
    <xf numFmtId="0" fontId="4" fillId="0" borderId="5" xfId="3" applyFont="1" applyBorder="1" applyAlignment="1">
      <alignment horizontal="centerContinuous"/>
    </xf>
    <xf numFmtId="166" fontId="9" fillId="3" borderId="4" xfId="4" applyNumberFormat="1" applyFont="1" applyFill="1" applyBorder="1"/>
    <xf numFmtId="166" fontId="9" fillId="3" borderId="17" xfId="4" applyNumberFormat="1" applyFont="1" applyFill="1" applyBorder="1"/>
    <xf numFmtId="166" fontId="9" fillId="3" borderId="5" xfId="4" applyNumberFormat="1" applyFont="1" applyFill="1" applyBorder="1"/>
    <xf numFmtId="166" fontId="9" fillId="3" borderId="18" xfId="4" applyNumberFormat="1" applyFont="1" applyFill="1" applyBorder="1"/>
    <xf numFmtId="166" fontId="9" fillId="3" borderId="19" xfId="4" applyNumberFormat="1" applyFont="1" applyFill="1" applyBorder="1"/>
    <xf numFmtId="3" fontId="9" fillId="0" borderId="4" xfId="1" applyNumberFormat="1" applyFont="1" applyFill="1" applyBorder="1"/>
    <xf numFmtId="3" fontId="4" fillId="0" borderId="18" xfId="1" applyNumberFormat="1" applyFont="1" applyFill="1" applyBorder="1"/>
    <xf numFmtId="164" fontId="4" fillId="0" borderId="12" xfId="1" applyFont="1" applyBorder="1"/>
    <xf numFmtId="164" fontId="4" fillId="0" borderId="13" xfId="1" applyFont="1" applyBorder="1"/>
    <xf numFmtId="167" fontId="4" fillId="0" borderId="14" xfId="1" applyNumberFormat="1" applyFont="1" applyBorder="1"/>
    <xf numFmtId="167" fontId="4" fillId="0" borderId="28" xfId="5" applyNumberFormat="1" applyFont="1" applyBorder="1"/>
    <xf numFmtId="2" fontId="4" fillId="0" borderId="28" xfId="3" applyNumberFormat="1" applyFont="1" applyBorder="1"/>
    <xf numFmtId="0" fontId="3" fillId="0" borderId="29" xfId="3" applyFont="1" applyBorder="1" applyAlignment="1">
      <alignment horizontal="center"/>
    </xf>
    <xf numFmtId="166" fontId="9" fillId="3" borderId="27" xfId="4" applyNumberFormat="1" applyFont="1" applyFill="1" applyBorder="1"/>
    <xf numFmtId="167" fontId="4" fillId="3" borderId="0" xfId="1" applyNumberFormat="1" applyFont="1" applyFill="1" applyBorder="1" applyAlignment="1">
      <alignment horizontal="centerContinuous"/>
    </xf>
    <xf numFmtId="37" fontId="4" fillId="0" borderId="19" xfId="1" applyNumberFormat="1" applyFont="1" applyBorder="1"/>
    <xf numFmtId="167" fontId="3" fillId="0" borderId="5" xfId="1" applyNumberFormat="1" applyFont="1" applyBorder="1" applyAlignment="1">
      <alignment horizontal="center"/>
    </xf>
    <xf numFmtId="3" fontId="4" fillId="0" borderId="13" xfId="1" applyNumberFormat="1" applyFont="1" applyBorder="1"/>
    <xf numFmtId="3" fontId="11" fillId="3" borderId="21" xfId="1" applyNumberFormat="1" applyFont="1" applyFill="1" applyBorder="1"/>
    <xf numFmtId="3" fontId="11" fillId="3" borderId="20" xfId="1" applyNumberFormat="1" applyFont="1" applyFill="1" applyBorder="1"/>
    <xf numFmtId="0" fontId="9" fillId="3" borderId="0" xfId="3" applyFont="1" applyFill="1" applyBorder="1" applyAlignment="1">
      <alignment horizontal="centerContinuous"/>
    </xf>
    <xf numFmtId="3" fontId="11" fillId="3" borderId="23" xfId="1" applyNumberFormat="1" applyFont="1" applyFill="1" applyBorder="1"/>
    <xf numFmtId="166" fontId="9" fillId="0" borderId="18" xfId="4" applyNumberFormat="1" applyFont="1" applyFill="1" applyBorder="1"/>
    <xf numFmtId="167" fontId="4" fillId="0" borderId="18" xfId="1" applyNumberFormat="1" applyFont="1" applyFill="1" applyBorder="1"/>
    <xf numFmtId="167" fontId="9" fillId="3" borderId="17" xfId="1" applyNumberFormat="1" applyFont="1" applyFill="1" applyBorder="1"/>
    <xf numFmtId="3" fontId="3" fillId="3" borderId="20" xfId="1" applyNumberFormat="1" applyFont="1" applyFill="1" applyBorder="1"/>
    <xf numFmtId="3" fontId="3" fillId="3" borderId="21" xfId="1" applyNumberFormat="1" applyFont="1" applyFill="1" applyBorder="1"/>
    <xf numFmtId="3" fontId="3" fillId="3" borderId="23" xfId="1" applyNumberFormat="1" applyFont="1" applyFill="1" applyBorder="1"/>
    <xf numFmtId="3" fontId="3" fillId="2" borderId="20" xfId="1" applyNumberFormat="1" applyFont="1" applyFill="1" applyBorder="1"/>
    <xf numFmtId="3" fontId="3" fillId="2" borderId="21" xfId="1" applyNumberFormat="1" applyFont="1" applyFill="1" applyBorder="1"/>
    <xf numFmtId="3" fontId="3" fillId="2" borderId="23" xfId="1" applyNumberFormat="1" applyFont="1" applyFill="1" applyBorder="1"/>
    <xf numFmtId="167" fontId="3" fillId="2" borderId="24" xfId="2" applyNumberFormat="1" applyFont="1" applyFill="1" applyBorder="1"/>
    <xf numFmtId="166" fontId="3" fillId="2" borderId="24" xfId="2" applyNumberFormat="1" applyFont="1" applyFill="1" applyBorder="1"/>
    <xf numFmtId="3" fontId="4" fillId="0" borderId="4" xfId="2" applyNumberFormat="1" applyFont="1" applyBorder="1"/>
    <xf numFmtId="167" fontId="3" fillId="3" borderId="20" xfId="1" applyNumberFormat="1" applyFont="1" applyFill="1" applyBorder="1"/>
    <xf numFmtId="167" fontId="3" fillId="3" borderId="21" xfId="1" applyNumberFormat="1" applyFont="1" applyFill="1" applyBorder="1"/>
    <xf numFmtId="167" fontId="3" fillId="3" borderId="22" xfId="1" applyNumberFormat="1" applyFont="1" applyFill="1" applyBorder="1"/>
    <xf numFmtId="167" fontId="3" fillId="3" borderId="23" xfId="1" applyNumberFormat="1" applyFont="1" applyFill="1" applyBorder="1"/>
    <xf numFmtId="167" fontId="3" fillId="3" borderId="24" xfId="1" applyNumberFormat="1" applyFont="1" applyFill="1" applyBorder="1"/>
    <xf numFmtId="168" fontId="3" fillId="2" borderId="20" xfId="2" applyNumberFormat="1" applyFont="1" applyFill="1" applyBorder="1"/>
    <xf numFmtId="168" fontId="3" fillId="2" borderId="21" xfId="2" applyNumberFormat="1" applyFont="1" applyFill="1" applyBorder="1"/>
    <xf numFmtId="0" fontId="3" fillId="0" borderId="9" xfId="3" applyFont="1" applyBorder="1"/>
    <xf numFmtId="0" fontId="3" fillId="0" borderId="10" xfId="3" applyFont="1" applyBorder="1"/>
    <xf numFmtId="0" fontId="3" fillId="0" borderId="11" xfId="3" applyFont="1" applyBorder="1"/>
    <xf numFmtId="3" fontId="4" fillId="0" borderId="9" xfId="1" applyNumberFormat="1" applyFont="1" applyBorder="1"/>
    <xf numFmtId="167" fontId="3" fillId="0" borderId="30" xfId="1" applyNumberFormat="1" applyFont="1" applyBorder="1"/>
    <xf numFmtId="3" fontId="4" fillId="0" borderId="11" xfId="1" applyNumberFormat="1" applyFont="1" applyBorder="1"/>
    <xf numFmtId="0" fontId="4" fillId="3" borderId="10" xfId="3" applyFont="1" applyFill="1" applyBorder="1" applyAlignment="1">
      <alignment horizontal="centerContinuous"/>
    </xf>
    <xf numFmtId="3" fontId="4" fillId="0" borderId="31" xfId="1" applyNumberFormat="1" applyFont="1" applyBorder="1"/>
    <xf numFmtId="37" fontId="3" fillId="0" borderId="30" xfId="1" applyNumberFormat="1" applyFont="1" applyBorder="1"/>
    <xf numFmtId="3" fontId="4" fillId="0" borderId="32" xfId="1" applyNumberFormat="1" applyFont="1" applyBorder="1"/>
    <xf numFmtId="0" fontId="3" fillId="0" borderId="11" xfId="3" applyFont="1" applyBorder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"/>
    </xf>
    <xf numFmtId="167" fontId="4" fillId="0" borderId="0" xfId="1" applyNumberFormat="1" applyFont="1"/>
    <xf numFmtId="0" fontId="12" fillId="0" borderId="0" xfId="8"/>
    <xf numFmtId="0" fontId="2" fillId="0" borderId="6" xfId="8" applyFont="1" applyBorder="1"/>
    <xf numFmtId="0" fontId="2" fillId="0" borderId="7" xfId="8" applyFont="1" applyBorder="1"/>
    <xf numFmtId="3" fontId="2" fillId="0" borderId="7" xfId="1" applyNumberFormat="1" applyFont="1" applyBorder="1"/>
    <xf numFmtId="3" fontId="2" fillId="0" borderId="8" xfId="1" applyNumberFormat="1" applyFont="1" applyBorder="1"/>
    <xf numFmtId="3" fontId="15" fillId="0" borderId="7" xfId="8" applyNumberFormat="1" applyFont="1" applyBorder="1"/>
    <xf numFmtId="3" fontId="2" fillId="0" borderId="6" xfId="1" applyNumberFormat="1" applyFont="1" applyBorder="1"/>
    <xf numFmtId="3" fontId="2" fillId="0" borderId="7" xfId="8" applyNumberFormat="1" applyFont="1" applyBorder="1"/>
    <xf numFmtId="0" fontId="2" fillId="0" borderId="8" xfId="8" applyFont="1" applyBorder="1"/>
    <xf numFmtId="0" fontId="12" fillId="0" borderId="7" xfId="8" applyBorder="1"/>
    <xf numFmtId="0" fontId="2" fillId="0" borderId="9" xfId="8" applyFont="1" applyBorder="1"/>
    <xf numFmtId="0" fontId="2" fillId="0" borderId="10" xfId="8" applyFont="1" applyBorder="1"/>
    <xf numFmtId="0" fontId="2" fillId="0" borderId="11" xfId="8" applyFont="1" applyBorder="1"/>
    <xf numFmtId="4" fontId="17" fillId="0" borderId="7" xfId="8" applyNumberFormat="1" applyFont="1" applyBorder="1" applyAlignment="1">
      <alignment horizontal="centerContinuous"/>
    </xf>
    <xf numFmtId="3" fontId="16" fillId="2" borderId="6" xfId="1" applyNumberFormat="1" applyFont="1" applyFill="1" applyBorder="1" applyAlignment="1">
      <alignment horizontal="centerContinuous"/>
    </xf>
    <xf numFmtId="3" fontId="16" fillId="2" borderId="7" xfId="1" applyNumberFormat="1" applyFont="1" applyFill="1" applyBorder="1" applyAlignment="1">
      <alignment horizontal="centerContinuous"/>
    </xf>
    <xf numFmtId="3" fontId="16" fillId="2" borderId="8" xfId="1" applyNumberFormat="1" applyFont="1" applyFill="1" applyBorder="1" applyAlignment="1">
      <alignment horizontal="centerContinuous"/>
    </xf>
    <xf numFmtId="0" fontId="12" fillId="0" borderId="8" xfId="8" applyBorder="1"/>
    <xf numFmtId="0" fontId="16" fillId="0" borderId="4" xfId="8" applyFont="1" applyBorder="1"/>
    <xf numFmtId="0" fontId="16" fillId="0" borderId="0" xfId="8" applyFont="1" applyBorder="1"/>
    <xf numFmtId="0" fontId="16" fillId="0" borderId="5" xfId="8" applyFont="1" applyBorder="1"/>
    <xf numFmtId="3" fontId="18" fillId="0" borderId="12" xfId="1" applyNumberFormat="1" applyFont="1" applyBorder="1" applyAlignment="1">
      <alignment horizontal="center"/>
    </xf>
    <xf numFmtId="3" fontId="18" fillId="0" borderId="13" xfId="1" applyNumberFormat="1" applyFont="1" applyBorder="1" applyAlignment="1">
      <alignment horizontal="center"/>
    </xf>
    <xf numFmtId="3" fontId="18" fillId="0" borderId="14" xfId="1" applyNumberFormat="1" applyFont="1" applyBorder="1" applyAlignment="1">
      <alignment horizontal="center"/>
    </xf>
    <xf numFmtId="0" fontId="19" fillId="3" borderId="0" xfId="8" applyFont="1" applyFill="1" applyBorder="1" applyAlignment="1">
      <alignment horizontal="centerContinuous"/>
    </xf>
    <xf numFmtId="3" fontId="18" fillId="0" borderId="15" xfId="1" applyNumberFormat="1" applyFont="1" applyBorder="1" applyAlignment="1">
      <alignment horizontal="center"/>
    </xf>
    <xf numFmtId="3" fontId="18" fillId="0" borderId="16" xfId="1" applyNumberFormat="1" applyFont="1" applyBorder="1" applyAlignment="1">
      <alignment horizontal="center"/>
    </xf>
    <xf numFmtId="0" fontId="12" fillId="0" borderId="5" xfId="8" applyBorder="1"/>
    <xf numFmtId="0" fontId="20" fillId="0" borderId="4" xfId="8" applyFont="1" applyBorder="1" applyAlignment="1">
      <alignment horizontal="centerContinuous"/>
    </xf>
    <xf numFmtId="0" fontId="16" fillId="0" borderId="0" xfId="8" applyFont="1" applyBorder="1" applyAlignment="1">
      <alignment horizontal="centerContinuous"/>
    </xf>
    <xf numFmtId="0" fontId="16" fillId="0" borderId="5" xfId="8" applyFont="1" applyBorder="1" applyAlignment="1">
      <alignment horizontal="centerContinuous"/>
    </xf>
    <xf numFmtId="3" fontId="21" fillId="0" borderId="4" xfId="1" applyNumberFormat="1" applyFont="1" applyBorder="1"/>
    <xf numFmtId="3" fontId="21" fillId="0" borderId="17" xfId="1" applyNumberFormat="1" applyFont="1" applyBorder="1"/>
    <xf numFmtId="3" fontId="21" fillId="0" borderId="5" xfId="1" applyNumberFormat="1" applyFont="1" applyBorder="1"/>
    <xf numFmtId="0" fontId="21" fillId="3" borderId="0" xfId="8" applyFont="1" applyFill="1" applyBorder="1" applyAlignment="1">
      <alignment horizontal="centerContinuous"/>
    </xf>
    <xf numFmtId="3" fontId="21" fillId="0" borderId="18" xfId="1" applyNumberFormat="1" applyFont="1" applyBorder="1"/>
    <xf numFmtId="3" fontId="21" fillId="0" borderId="19" xfId="1" applyNumberFormat="1" applyFont="1" applyBorder="1"/>
    <xf numFmtId="0" fontId="2" fillId="0" borderId="4" xfId="8" applyFont="1" applyBorder="1"/>
    <xf numFmtId="0" fontId="2" fillId="0" borderId="0" xfId="8" applyFont="1" applyBorder="1"/>
    <xf numFmtId="0" fontId="2" fillId="0" borderId="5" xfId="8" applyFont="1" applyBorder="1"/>
    <xf numFmtId="166" fontId="21" fillId="0" borderId="4" xfId="2" applyNumberFormat="1" applyFont="1" applyFill="1" applyBorder="1"/>
    <xf numFmtId="166" fontId="21" fillId="0" borderId="17" xfId="2" applyNumberFormat="1" applyFont="1" applyBorder="1"/>
    <xf numFmtId="166" fontId="21" fillId="0" borderId="5" xfId="2" applyNumberFormat="1" applyFont="1" applyBorder="1"/>
    <xf numFmtId="166" fontId="21" fillId="0" borderId="18" xfId="2" applyNumberFormat="1" applyFont="1" applyBorder="1"/>
    <xf numFmtId="166" fontId="21" fillId="0" borderId="19" xfId="2" applyNumberFormat="1" applyFont="1" applyBorder="1"/>
    <xf numFmtId="3" fontId="21" fillId="0" borderId="4" xfId="1" applyNumberFormat="1" applyFont="1" applyFill="1" applyBorder="1"/>
    <xf numFmtId="167" fontId="21" fillId="0" borderId="5" xfId="1" applyNumberFormat="1" applyFont="1" applyBorder="1"/>
    <xf numFmtId="167" fontId="21" fillId="0" borderId="18" xfId="1" applyNumberFormat="1" applyFont="1" applyBorder="1"/>
    <xf numFmtId="167" fontId="21" fillId="0" borderId="19" xfId="1" applyNumberFormat="1" applyFont="1" applyBorder="1"/>
    <xf numFmtId="164" fontId="21" fillId="0" borderId="4" xfId="1" applyFont="1" applyBorder="1"/>
    <xf numFmtId="164" fontId="21" fillId="0" borderId="17" xfId="1" applyFont="1" applyBorder="1"/>
    <xf numFmtId="164" fontId="21" fillId="0" borderId="5" xfId="1" applyFont="1" applyBorder="1"/>
    <xf numFmtId="164" fontId="21" fillId="3" borderId="0" xfId="1" applyFont="1" applyFill="1" applyBorder="1" applyAlignment="1">
      <alignment horizontal="centerContinuous"/>
    </xf>
    <xf numFmtId="164" fontId="21" fillId="0" borderId="18" xfId="1" applyFont="1" applyBorder="1"/>
    <xf numFmtId="164" fontId="21" fillId="0" borderId="19" xfId="1" applyFont="1" applyBorder="1"/>
    <xf numFmtId="164" fontId="0" fillId="0" borderId="5" xfId="1" applyFont="1" applyBorder="1"/>
    <xf numFmtId="3" fontId="22" fillId="0" borderId="20" xfId="1" applyNumberFormat="1" applyFont="1" applyBorder="1"/>
    <xf numFmtId="3" fontId="22" fillId="0" borderId="21" xfId="1" applyNumberFormat="1" applyFont="1" applyBorder="1"/>
    <xf numFmtId="167" fontId="22" fillId="0" borderId="22" xfId="1" applyNumberFormat="1" applyFont="1" applyBorder="1"/>
    <xf numFmtId="0" fontId="22" fillId="3" borderId="0" xfId="8" applyFont="1" applyFill="1" applyBorder="1" applyAlignment="1">
      <alignment horizontal="centerContinuous"/>
    </xf>
    <xf numFmtId="3" fontId="22" fillId="0" borderId="23" xfId="1" applyNumberFormat="1" applyFont="1" applyBorder="1"/>
    <xf numFmtId="167" fontId="22" fillId="0" borderId="24" xfId="1" applyNumberFormat="1" applyFont="1" applyBorder="1"/>
    <xf numFmtId="166" fontId="21" fillId="0" borderId="4" xfId="2" applyNumberFormat="1" applyFont="1" applyBorder="1"/>
    <xf numFmtId="167" fontId="21" fillId="0" borderId="4" xfId="1" applyNumberFormat="1" applyFont="1" applyBorder="1"/>
    <xf numFmtId="167" fontId="21" fillId="0" borderId="17" xfId="1" applyNumberFormat="1" applyFont="1" applyBorder="1"/>
    <xf numFmtId="167" fontId="0" fillId="0" borderId="0" xfId="1" applyNumberFormat="1" applyFont="1"/>
    <xf numFmtId="166" fontId="12" fillId="0" borderId="0" xfId="8" applyNumberFormat="1"/>
    <xf numFmtId="169" fontId="12" fillId="0" borderId="0" xfId="8" applyNumberFormat="1"/>
    <xf numFmtId="167" fontId="23" fillId="0" borderId="4" xfId="1" applyNumberFormat="1" applyFont="1" applyBorder="1"/>
    <xf numFmtId="3" fontId="12" fillId="0" borderId="0" xfId="8" applyNumberFormat="1"/>
    <xf numFmtId="3" fontId="21" fillId="0" borderId="15" xfId="1" applyNumberFormat="1" applyFont="1" applyBorder="1"/>
    <xf numFmtId="167" fontId="22" fillId="0" borderId="21" xfId="1" applyNumberFormat="1" applyFont="1" applyBorder="1"/>
    <xf numFmtId="166" fontId="16" fillId="2" borderId="20" xfId="2" applyNumberFormat="1" applyFont="1" applyFill="1" applyBorder="1"/>
    <xf numFmtId="166" fontId="16" fillId="2" borderId="21" xfId="2" applyNumberFormat="1" applyFont="1" applyFill="1" applyBorder="1"/>
    <xf numFmtId="166" fontId="16" fillId="2" borderId="22" xfId="2" applyNumberFormat="1" applyFont="1" applyFill="1" applyBorder="1"/>
    <xf numFmtId="0" fontId="16" fillId="3" borderId="0" xfId="8" applyFont="1" applyFill="1" applyBorder="1" applyAlignment="1">
      <alignment horizontal="centerContinuous"/>
    </xf>
    <xf numFmtId="166" fontId="16" fillId="2" borderId="23" xfId="2" applyNumberFormat="1" applyFont="1" applyFill="1" applyBorder="1"/>
    <xf numFmtId="166" fontId="16" fillId="2" borderId="25" xfId="2" applyNumberFormat="1" applyFont="1" applyFill="1" applyBorder="1"/>
    <xf numFmtId="166" fontId="16" fillId="0" borderId="20" xfId="2" applyNumberFormat="1" applyFont="1" applyFill="1" applyBorder="1"/>
    <xf numFmtId="166" fontId="16" fillId="0" borderId="21" xfId="2" applyNumberFormat="1" applyFont="1" applyFill="1" applyBorder="1"/>
    <xf numFmtId="166" fontId="16" fillId="0" borderId="22" xfId="2" applyNumberFormat="1" applyFont="1" applyFill="1" applyBorder="1"/>
    <xf numFmtId="166" fontId="16" fillId="2" borderId="26" xfId="2" applyNumberFormat="1" applyFont="1" applyFill="1" applyBorder="1"/>
    <xf numFmtId="3" fontId="23" fillId="0" borderId="20" xfId="1" applyNumberFormat="1" applyFont="1" applyBorder="1"/>
    <xf numFmtId="3" fontId="21" fillId="0" borderId="21" xfId="1" applyNumberFormat="1" applyFont="1" applyBorder="1"/>
    <xf numFmtId="166" fontId="21" fillId="0" borderId="22" xfId="2" applyNumberFormat="1" applyFont="1" applyBorder="1"/>
    <xf numFmtId="166" fontId="21" fillId="0" borderId="24" xfId="2" applyNumberFormat="1" applyFont="1" applyBorder="1"/>
    <xf numFmtId="3" fontId="21" fillId="0" borderId="20" xfId="1" applyNumberFormat="1" applyFont="1" applyBorder="1"/>
    <xf numFmtId="0" fontId="24" fillId="0" borderId="4" xfId="8" applyFont="1" applyBorder="1"/>
    <xf numFmtId="3" fontId="21" fillId="0" borderId="27" xfId="1" applyNumberFormat="1" applyFont="1" applyBorder="1"/>
    <xf numFmtId="0" fontId="2" fillId="0" borderId="0" xfId="8" applyFont="1" applyBorder="1" applyAlignment="1">
      <alignment horizontal="centerContinuous"/>
    </xf>
    <xf numFmtId="0" fontId="2" fillId="0" borderId="5" xfId="8" applyFont="1" applyBorder="1" applyAlignment="1">
      <alignment horizontal="centerContinuous"/>
    </xf>
    <xf numFmtId="166" fontId="23" fillId="3" borderId="4" xfId="4" applyNumberFormat="1" applyFont="1" applyFill="1" applyBorder="1"/>
    <xf numFmtId="166" fontId="23" fillId="3" borderId="17" xfId="4" applyNumberFormat="1" applyFont="1" applyFill="1" applyBorder="1"/>
    <xf numFmtId="166" fontId="23" fillId="3" borderId="5" xfId="4" applyNumberFormat="1" applyFont="1" applyFill="1" applyBorder="1"/>
    <xf numFmtId="166" fontId="23" fillId="3" borderId="18" xfId="4" applyNumberFormat="1" applyFont="1" applyFill="1" applyBorder="1"/>
    <xf numFmtId="166" fontId="23" fillId="3" borderId="19" xfId="4" applyNumberFormat="1" applyFont="1" applyFill="1" applyBorder="1"/>
    <xf numFmtId="3" fontId="23" fillId="0" borderId="4" xfId="1" applyNumberFormat="1" applyFont="1" applyBorder="1"/>
    <xf numFmtId="0" fontId="21" fillId="0" borderId="0" xfId="8" applyFont="1" applyBorder="1"/>
    <xf numFmtId="164" fontId="21" fillId="0" borderId="12" xfId="1" applyFont="1" applyBorder="1"/>
    <xf numFmtId="164" fontId="21" fillId="0" borderId="13" xfId="1" applyFont="1" applyBorder="1"/>
    <xf numFmtId="167" fontId="21" fillId="0" borderId="14" xfId="1" applyNumberFormat="1" applyFont="1" applyBorder="1"/>
    <xf numFmtId="167" fontId="21" fillId="0" borderId="28" xfId="5" applyNumberFormat="1" applyFont="1" applyBorder="1"/>
    <xf numFmtId="2" fontId="21" fillId="0" borderId="28" xfId="8" applyNumberFormat="1" applyFont="1" applyBorder="1"/>
    <xf numFmtId="166" fontId="23" fillId="3" borderId="27" xfId="4" applyNumberFormat="1" applyFont="1" applyFill="1" applyBorder="1"/>
    <xf numFmtId="167" fontId="21" fillId="3" borderId="0" xfId="1" applyNumberFormat="1" applyFont="1" applyFill="1" applyBorder="1" applyAlignment="1">
      <alignment horizontal="centerContinuous"/>
    </xf>
    <xf numFmtId="37" fontId="21" fillId="0" borderId="19" xfId="1" applyNumberFormat="1" applyFont="1" applyBorder="1"/>
    <xf numFmtId="167" fontId="0" fillId="0" borderId="5" xfId="1" applyNumberFormat="1" applyFont="1" applyBorder="1"/>
    <xf numFmtId="3" fontId="21" fillId="0" borderId="13" xfId="1" applyNumberFormat="1" applyFont="1" applyBorder="1"/>
    <xf numFmtId="3" fontId="25" fillId="3" borderId="21" xfId="1" applyNumberFormat="1" applyFont="1" applyFill="1" applyBorder="1"/>
    <xf numFmtId="3" fontId="25" fillId="3" borderId="20" xfId="1" applyNumberFormat="1" applyFont="1" applyFill="1" applyBorder="1"/>
    <xf numFmtId="0" fontId="23" fillId="3" borderId="0" xfId="8" applyFont="1" applyFill="1" applyBorder="1" applyAlignment="1">
      <alignment horizontal="centerContinuous"/>
    </xf>
    <xf numFmtId="3" fontId="25" fillId="3" borderId="23" xfId="1" applyNumberFormat="1" applyFont="1" applyFill="1" applyBorder="1"/>
    <xf numFmtId="167" fontId="23" fillId="3" borderId="17" xfId="1" applyNumberFormat="1" applyFont="1" applyFill="1" applyBorder="1"/>
    <xf numFmtId="3" fontId="22" fillId="3" borderId="20" xfId="1" applyNumberFormat="1" applyFont="1" applyFill="1" applyBorder="1"/>
    <xf numFmtId="3" fontId="22" fillId="3" borderId="21" xfId="1" applyNumberFormat="1" applyFont="1" applyFill="1" applyBorder="1"/>
    <xf numFmtId="3" fontId="22" fillId="3" borderId="23" xfId="1" applyNumberFormat="1" applyFont="1" applyFill="1" applyBorder="1"/>
    <xf numFmtId="3" fontId="16" fillId="2" borderId="20" xfId="1" applyNumberFormat="1" applyFont="1" applyFill="1" applyBorder="1"/>
    <xf numFmtId="3" fontId="16" fillId="2" borderId="21" xfId="1" applyNumberFormat="1" applyFont="1" applyFill="1" applyBorder="1"/>
    <xf numFmtId="3" fontId="16" fillId="2" borderId="23" xfId="1" applyNumberFormat="1" applyFont="1" applyFill="1" applyBorder="1"/>
    <xf numFmtId="167" fontId="16" fillId="2" borderId="24" xfId="2" applyNumberFormat="1" applyFont="1" applyFill="1" applyBorder="1"/>
    <xf numFmtId="166" fontId="16" fillId="2" borderId="24" xfId="2" applyNumberFormat="1" applyFont="1" applyFill="1" applyBorder="1"/>
    <xf numFmtId="3" fontId="21" fillId="0" borderId="4" xfId="2" applyNumberFormat="1" applyFont="1" applyBorder="1"/>
    <xf numFmtId="167" fontId="22" fillId="3" borderId="20" xfId="1" applyNumberFormat="1" applyFont="1" applyFill="1" applyBorder="1"/>
    <xf numFmtId="167" fontId="22" fillId="3" borderId="21" xfId="1" applyNumberFormat="1" applyFont="1" applyFill="1" applyBorder="1"/>
    <xf numFmtId="167" fontId="22" fillId="3" borderId="22" xfId="1" applyNumberFormat="1" applyFont="1" applyFill="1" applyBorder="1"/>
    <xf numFmtId="167" fontId="22" fillId="3" borderId="23" xfId="1" applyNumberFormat="1" applyFont="1" applyFill="1" applyBorder="1"/>
    <xf numFmtId="167" fontId="22" fillId="3" borderId="24" xfId="1" applyNumberFormat="1" applyFont="1" applyFill="1" applyBorder="1"/>
    <xf numFmtId="0" fontId="22" fillId="0" borderId="9" xfId="8" applyFont="1" applyBorder="1"/>
    <xf numFmtId="0" fontId="22" fillId="0" borderId="10" xfId="8" applyFont="1" applyBorder="1"/>
    <xf numFmtId="0" fontId="22" fillId="0" borderId="11" xfId="8" applyFont="1" applyBorder="1"/>
    <xf numFmtId="3" fontId="21" fillId="0" borderId="9" xfId="1" applyNumberFormat="1" applyFont="1" applyBorder="1"/>
    <xf numFmtId="167" fontId="22" fillId="0" borderId="30" xfId="1" applyNumberFormat="1" applyFont="1" applyBorder="1"/>
    <xf numFmtId="3" fontId="21" fillId="0" borderId="11" xfId="1" applyNumberFormat="1" applyFont="1" applyBorder="1"/>
    <xf numFmtId="0" fontId="21" fillId="3" borderId="10" xfId="8" applyFont="1" applyFill="1" applyBorder="1" applyAlignment="1">
      <alignment horizontal="centerContinuous"/>
    </xf>
    <xf numFmtId="3" fontId="21" fillId="0" borderId="31" xfId="1" applyNumberFormat="1" applyFont="1" applyBorder="1"/>
    <xf numFmtId="37" fontId="22" fillId="0" borderId="30" xfId="1" applyNumberFormat="1" applyFont="1" applyBorder="1"/>
    <xf numFmtId="3" fontId="21" fillId="0" borderId="32" xfId="1" applyNumberFormat="1" applyFont="1" applyBorder="1"/>
    <xf numFmtId="0" fontId="12" fillId="0" borderId="11" xfId="8" applyBorder="1"/>
    <xf numFmtId="0" fontId="16" fillId="0" borderId="0" xfId="8" applyFont="1"/>
    <xf numFmtId="166" fontId="23" fillId="0" borderId="18" xfId="4" applyNumberFormat="1" applyFont="1" applyFill="1" applyBorder="1"/>
    <xf numFmtId="167" fontId="21" fillId="0" borderId="18" xfId="1" applyNumberFormat="1" applyFont="1" applyFill="1" applyBorder="1"/>
    <xf numFmtId="168" fontId="16" fillId="2" borderId="20" xfId="2" applyNumberFormat="1" applyFont="1" applyFill="1" applyBorder="1"/>
    <xf numFmtId="168" fontId="16" fillId="2" borderId="21" xfId="2" applyNumberFormat="1" applyFont="1" applyFill="1" applyBorder="1"/>
    <xf numFmtId="4" fontId="13" fillId="0" borderId="1" xfId="8" applyNumberFormat="1" applyFont="1" applyBorder="1" applyAlignment="1">
      <alignment horizontal="center"/>
    </xf>
    <xf numFmtId="4" fontId="13" fillId="0" borderId="2" xfId="8" applyNumberFormat="1" applyFont="1" applyBorder="1" applyAlignment="1">
      <alignment horizontal="center"/>
    </xf>
    <xf numFmtId="4" fontId="13" fillId="0" borderId="3" xfId="8" applyNumberFormat="1" applyFont="1" applyBorder="1" applyAlignment="1">
      <alignment horizontal="center"/>
    </xf>
    <xf numFmtId="4" fontId="14" fillId="0" borderId="4" xfId="8" applyNumberFormat="1" applyFont="1" applyBorder="1" applyAlignment="1">
      <alignment horizontal="center"/>
    </xf>
    <xf numFmtId="4" fontId="14" fillId="0" borderId="0" xfId="8" applyNumberFormat="1" applyFont="1" applyBorder="1" applyAlignment="1">
      <alignment horizontal="center"/>
    </xf>
    <xf numFmtId="4" fontId="14" fillId="0" borderId="5" xfId="8" applyNumberFormat="1" applyFont="1" applyBorder="1" applyAlignment="1">
      <alignment horizontal="center"/>
    </xf>
    <xf numFmtId="3" fontId="16" fillId="2" borderId="6" xfId="1" applyNumberFormat="1" applyFont="1" applyFill="1" applyBorder="1" applyAlignment="1">
      <alignment horizontal="center"/>
    </xf>
    <xf numFmtId="3" fontId="16" fillId="2" borderId="7" xfId="1" applyNumberFormat="1" applyFont="1" applyFill="1" applyBorder="1" applyAlignment="1">
      <alignment horizontal="center"/>
    </xf>
    <xf numFmtId="3" fontId="16" fillId="2" borderId="8" xfId="1" applyNumberFormat="1" applyFont="1" applyFill="1" applyBorder="1" applyAlignment="1">
      <alignment horizontal="center"/>
    </xf>
    <xf numFmtId="4" fontId="3" fillId="0" borderId="1" xfId="3" applyNumberFormat="1" applyFont="1" applyBorder="1" applyAlignment="1">
      <alignment horizontal="center"/>
    </xf>
    <xf numFmtId="4" fontId="3" fillId="0" borderId="2" xfId="3" applyNumberFormat="1" applyFont="1" applyBorder="1" applyAlignment="1">
      <alignment horizontal="center"/>
    </xf>
    <xf numFmtId="4" fontId="3" fillId="0" borderId="3" xfId="3" applyNumberFormat="1" applyFont="1" applyBorder="1" applyAlignment="1">
      <alignment horizontal="center"/>
    </xf>
    <xf numFmtId="4" fontId="3" fillId="0" borderId="4" xfId="3" applyNumberFormat="1" applyFont="1" applyBorder="1" applyAlignment="1">
      <alignment horizontal="center"/>
    </xf>
    <xf numFmtId="4" fontId="3" fillId="0" borderId="0" xfId="3" applyNumberFormat="1" applyFont="1" applyBorder="1" applyAlignment="1">
      <alignment horizontal="center"/>
    </xf>
    <xf numFmtId="4" fontId="3" fillId="0" borderId="5" xfId="3" applyNumberFormat="1" applyFont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3" fontId="3" fillId="2" borderId="7" xfId="1" applyNumberFormat="1" applyFont="1" applyFill="1" applyBorder="1" applyAlignment="1">
      <alignment horizontal="center"/>
    </xf>
    <xf numFmtId="3" fontId="3" fillId="2" borderId="8" xfId="1" applyNumberFormat="1" applyFont="1" applyFill="1" applyBorder="1" applyAlignment="1">
      <alignment horizontal="center"/>
    </xf>
  </cellXfs>
  <cellStyles count="9">
    <cellStyle name="Millares" xfId="1" builtinId="3"/>
    <cellStyle name="Millares 2" xfId="6"/>
    <cellStyle name="Millares_Libro2" xfId="5"/>
    <cellStyle name="Moneda" xfId="2" builtinId="4"/>
    <cellStyle name="Moneda_Libro2" xfId="4"/>
    <cellStyle name="Normal" xfId="0" builtinId="0"/>
    <cellStyle name="Normal 2" xfId="7"/>
    <cellStyle name="Normal 3" xfId="3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COMPAQ/respaldolanix/edosfinan/2003/NOVIEM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Prorrateo-Ppto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SE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NO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DI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Deloitte/DIC/2210.6%20Subsidios%20diciembre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/>
      <sheetData sheetId="3">
        <row r="17">
          <cell r="L17">
            <v>87194334.082562476</v>
          </cell>
        </row>
        <row r="18">
          <cell r="L18">
            <v>197221312.35315576</v>
          </cell>
        </row>
        <row r="19">
          <cell r="L19">
            <v>68585941.492931411</v>
          </cell>
        </row>
        <row r="20">
          <cell r="L20">
            <v>9735956.6667565033</v>
          </cell>
        </row>
        <row r="21">
          <cell r="L21">
            <v>3199176.7241544477</v>
          </cell>
        </row>
        <row r="22">
          <cell r="L22">
            <v>26105568.152194139</v>
          </cell>
        </row>
        <row r="23">
          <cell r="L23">
            <v>4095671.6332598254</v>
          </cell>
        </row>
        <row r="24">
          <cell r="L24">
            <v>5622464.7257661279</v>
          </cell>
        </row>
        <row r="25">
          <cell r="L25">
            <v>30876099.579349525</v>
          </cell>
        </row>
        <row r="29">
          <cell r="L29">
            <v>55688883.954458758</v>
          </cell>
        </row>
        <row r="33">
          <cell r="L33">
            <v>788936060.70474637</v>
          </cell>
        </row>
        <row r="34">
          <cell r="L34">
            <v>114411603.87112023</v>
          </cell>
        </row>
        <row r="35">
          <cell r="L35">
            <v>55015482.376796946</v>
          </cell>
        </row>
        <row r="36">
          <cell r="L36">
            <v>48551055.696537338</v>
          </cell>
        </row>
        <row r="37">
          <cell r="L37">
            <v>32519565.491028927</v>
          </cell>
        </row>
        <row r="40">
          <cell r="L40">
            <v>1302831.7190800116</v>
          </cell>
        </row>
        <row r="41">
          <cell r="L41">
            <v>563831.26915052428</v>
          </cell>
        </row>
        <row r="42">
          <cell r="L42">
            <v>2866242.6137771946</v>
          </cell>
        </row>
        <row r="43">
          <cell r="L43">
            <v>254568.3415487865</v>
          </cell>
        </row>
        <row r="44">
          <cell r="L44">
            <v>530450.71259469877</v>
          </cell>
        </row>
        <row r="46">
          <cell r="L46">
            <v>130146.89386682888</v>
          </cell>
        </row>
        <row r="47">
          <cell r="L47">
            <v>237101.22068390343</v>
          </cell>
        </row>
        <row r="50">
          <cell r="L50">
            <v>510000</v>
          </cell>
        </row>
        <row r="51">
          <cell r="L51">
            <v>100000</v>
          </cell>
        </row>
        <row r="52">
          <cell r="L52">
            <v>0</v>
          </cell>
        </row>
        <row r="53">
          <cell r="L53">
            <v>27347759</v>
          </cell>
        </row>
        <row r="54">
          <cell r="L54">
            <v>5400000</v>
          </cell>
        </row>
        <row r="55">
          <cell r="L55">
            <v>10450000</v>
          </cell>
        </row>
        <row r="56">
          <cell r="L56">
            <v>4239751</v>
          </cell>
        </row>
        <row r="57">
          <cell r="L57">
            <v>3600000</v>
          </cell>
        </row>
        <row r="58">
          <cell r="L58">
            <v>5480000</v>
          </cell>
        </row>
        <row r="59">
          <cell r="L59">
            <v>520000</v>
          </cell>
        </row>
        <row r="60">
          <cell r="L60">
            <v>0</v>
          </cell>
        </row>
      </sheetData>
      <sheetData sheetId="4"/>
      <sheetData sheetId="5"/>
      <sheetData sheetId="6">
        <row r="6">
          <cell r="E6">
            <v>72372000</v>
          </cell>
        </row>
        <row r="7">
          <cell r="E7">
            <v>28819699</v>
          </cell>
        </row>
        <row r="8">
          <cell r="E8">
            <v>0</v>
          </cell>
        </row>
        <row r="10">
          <cell r="E10">
            <v>1404102.95</v>
          </cell>
        </row>
        <row r="11">
          <cell r="E11">
            <v>2071312.11</v>
          </cell>
        </row>
        <row r="12">
          <cell r="E12">
            <v>0</v>
          </cell>
        </row>
        <row r="13">
          <cell r="E13">
            <v>2105756.2199999997</v>
          </cell>
        </row>
        <row r="15">
          <cell r="E15">
            <v>4840794.67</v>
          </cell>
        </row>
        <row r="16">
          <cell r="E16">
            <v>2504909.25</v>
          </cell>
        </row>
        <row r="17">
          <cell r="E17">
            <v>5027983.6100000003</v>
          </cell>
        </row>
        <row r="18">
          <cell r="E18">
            <v>1415377.4</v>
          </cell>
        </row>
        <row r="19">
          <cell r="E19">
            <v>1028962</v>
          </cell>
        </row>
        <row r="20">
          <cell r="E20">
            <v>357906.85</v>
          </cell>
        </row>
        <row r="21">
          <cell r="E21">
            <v>598585.46</v>
          </cell>
        </row>
        <row r="22">
          <cell r="E22">
            <v>338999.18</v>
          </cell>
        </row>
        <row r="23">
          <cell r="E23">
            <v>288529.18</v>
          </cell>
        </row>
        <row r="24">
          <cell r="E24">
            <v>5945048.2999999998</v>
          </cell>
        </row>
        <row r="29">
          <cell r="E29">
            <v>2040976.35</v>
          </cell>
        </row>
        <row r="34">
          <cell r="E34">
            <v>84887866.739999995</v>
          </cell>
        </row>
        <row r="35">
          <cell r="E35">
            <v>15906768.25</v>
          </cell>
        </row>
        <row r="36">
          <cell r="E36">
            <v>5632409.3399999999</v>
          </cell>
        </row>
        <row r="37">
          <cell r="E37">
            <v>3877902.06</v>
          </cell>
        </row>
        <row r="38">
          <cell r="E38">
            <v>4501734.8499999996</v>
          </cell>
        </row>
        <row r="40">
          <cell r="E40">
            <v>167100.47</v>
          </cell>
        </row>
        <row r="41">
          <cell r="E41">
            <v>99827.57</v>
          </cell>
        </row>
        <row r="42">
          <cell r="E42">
            <v>309582</v>
          </cell>
        </row>
        <row r="43">
          <cell r="E43">
            <v>41840.910000000003</v>
          </cell>
        </row>
        <row r="44">
          <cell r="E44">
            <v>18103.849999999999</v>
          </cell>
        </row>
        <row r="45">
          <cell r="E45">
            <v>0</v>
          </cell>
        </row>
        <row r="46">
          <cell r="E46">
            <v>4375.2</v>
          </cell>
        </row>
        <row r="47">
          <cell r="E47">
            <v>11378.77</v>
          </cell>
        </row>
        <row r="52">
          <cell r="E52">
            <v>356632</v>
          </cell>
        </row>
        <row r="53">
          <cell r="E53">
            <v>2274009.61</v>
          </cell>
        </row>
        <row r="54">
          <cell r="E54">
            <v>619381.48</v>
          </cell>
        </row>
        <row r="55">
          <cell r="E55">
            <v>37252.080000000002</v>
          </cell>
        </row>
        <row r="56">
          <cell r="E56">
            <v>0</v>
          </cell>
        </row>
        <row r="57">
          <cell r="E57">
            <v>1370885.76</v>
          </cell>
        </row>
      </sheetData>
      <sheetData sheetId="7">
        <row r="6">
          <cell r="X6">
            <v>531991791</v>
          </cell>
        </row>
        <row r="7">
          <cell r="X7">
            <v>317016690</v>
          </cell>
        </row>
        <row r="8">
          <cell r="X8">
            <v>0</v>
          </cell>
        </row>
        <row r="10">
          <cell r="X10">
            <v>29384100.68</v>
          </cell>
        </row>
        <row r="11">
          <cell r="X11">
            <v>9043864.129999999</v>
          </cell>
        </row>
        <row r="12">
          <cell r="X12">
            <v>0</v>
          </cell>
        </row>
        <row r="13">
          <cell r="X13">
            <v>17728475.939999998</v>
          </cell>
        </row>
        <row r="15">
          <cell r="X15">
            <v>85803570.489999995</v>
          </cell>
        </row>
        <row r="16">
          <cell r="X16">
            <v>194852995.65000001</v>
          </cell>
        </row>
        <row r="17">
          <cell r="X17">
            <v>68110949.609999999</v>
          </cell>
        </row>
        <row r="18">
          <cell r="X18">
            <v>8977242.3100000005</v>
          </cell>
        </row>
        <row r="19">
          <cell r="X19">
            <v>6334926</v>
          </cell>
        </row>
        <row r="20">
          <cell r="X20">
            <v>2421897.2600000002</v>
          </cell>
        </row>
        <row r="21">
          <cell r="X21">
            <v>24811243.530000001</v>
          </cell>
        </row>
        <row r="22">
          <cell r="X22">
            <v>3292880</v>
          </cell>
        </row>
        <row r="23">
          <cell r="X23">
            <v>5236803.0200000005</v>
          </cell>
        </row>
        <row r="24">
          <cell r="X24">
            <v>33616071.700000003</v>
          </cell>
        </row>
        <row r="29">
          <cell r="X29">
            <v>55840727.950000003</v>
          </cell>
        </row>
        <row r="33">
          <cell r="X33">
            <v>793695278.43999994</v>
          </cell>
        </row>
        <row r="35">
          <cell r="X35">
            <v>58922778.339999996</v>
          </cell>
        </row>
        <row r="36">
          <cell r="X36">
            <v>41639276.509999998</v>
          </cell>
        </row>
        <row r="37">
          <cell r="X37">
            <v>32531314.970000003</v>
          </cell>
        </row>
        <row r="39">
          <cell r="X39">
            <v>1129497.25</v>
          </cell>
        </row>
        <row r="40">
          <cell r="X40">
            <v>1264725.77</v>
          </cell>
        </row>
        <row r="41">
          <cell r="X41">
            <v>3308960.6100000003</v>
          </cell>
        </row>
        <row r="42">
          <cell r="X42">
            <v>392017.4</v>
          </cell>
        </row>
        <row r="43">
          <cell r="X43">
            <v>466465.55999999994</v>
          </cell>
        </row>
        <row r="44">
          <cell r="X44">
            <v>0</v>
          </cell>
        </row>
        <row r="45">
          <cell r="X45">
            <v>202166.41</v>
          </cell>
        </row>
        <row r="46">
          <cell r="X46">
            <v>87534.49</v>
          </cell>
        </row>
        <row r="51">
          <cell r="X51">
            <v>1176092</v>
          </cell>
        </row>
        <row r="53">
          <cell r="X53">
            <v>8073881.9299999997</v>
          </cell>
        </row>
        <row r="54">
          <cell r="X54">
            <v>3448444.63</v>
          </cell>
        </row>
        <row r="55">
          <cell r="X55">
            <v>0</v>
          </cell>
        </row>
        <row r="56">
          <cell r="X56">
            <v>6609556.1099999994</v>
          </cell>
        </row>
      </sheetData>
      <sheetData sheetId="8"/>
      <sheetData sheetId="9">
        <row r="35">
          <cell r="Y35">
            <v>126110249.85999998</v>
          </cell>
        </row>
        <row r="51">
          <cell r="W51">
            <v>0</v>
          </cell>
          <cell r="Y51">
            <v>79773.600000000006</v>
          </cell>
        </row>
        <row r="52">
          <cell r="W52">
            <v>32686</v>
          </cell>
          <cell r="Y52">
            <v>150310.94</v>
          </cell>
        </row>
        <row r="53">
          <cell r="W53">
            <v>0</v>
          </cell>
          <cell r="Y53">
            <v>0</v>
          </cell>
        </row>
        <row r="54">
          <cell r="W54">
            <v>7897506.7299999995</v>
          </cell>
          <cell r="Y54">
            <v>30547152.940000001</v>
          </cell>
        </row>
        <row r="55">
          <cell r="W55">
            <v>0</v>
          </cell>
          <cell r="Y55">
            <v>4029125.4299999997</v>
          </cell>
        </row>
        <row r="56">
          <cell r="W56">
            <v>383773.22</v>
          </cell>
          <cell r="Y56">
            <v>9844024.5600000005</v>
          </cell>
        </row>
        <row r="57">
          <cell r="W57">
            <v>45361.13</v>
          </cell>
          <cell r="Y57">
            <v>4228630.6199999992</v>
          </cell>
        </row>
        <row r="58">
          <cell r="W58">
            <v>0</v>
          </cell>
          <cell r="Y58">
            <v>2351703</v>
          </cell>
        </row>
        <row r="59">
          <cell r="W59">
            <v>5305.33</v>
          </cell>
          <cell r="Y59">
            <v>6291479</v>
          </cell>
        </row>
        <row r="60">
          <cell r="W60">
            <v>0</v>
          </cell>
          <cell r="Y60">
            <v>236894</v>
          </cell>
        </row>
        <row r="61">
          <cell r="W61">
            <v>0</v>
          </cell>
          <cell r="Y61">
            <v>0</v>
          </cell>
        </row>
        <row r="67">
          <cell r="Y67">
            <v>12621751.17</v>
          </cell>
        </row>
        <row r="73">
          <cell r="W73">
            <v>0</v>
          </cell>
          <cell r="Y73">
            <v>5370168</v>
          </cell>
        </row>
        <row r="74">
          <cell r="W74">
            <v>1086881.44</v>
          </cell>
          <cell r="Y74">
            <v>20490719.030000001</v>
          </cell>
        </row>
        <row r="75">
          <cell r="W75">
            <v>0</v>
          </cell>
          <cell r="Y75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COMPRES"/>
      <sheetName val="BAL"/>
      <sheetName val="BALCOM"/>
      <sheetName val="rdo"/>
      <sheetName val="RDOACUM"/>
      <sheetName val="IYE"/>
      <sheetName val="CAJA"/>
      <sheetName val="CUSTODIA"/>
      <sheetName val="balan"/>
      <sheetName val="GRAFICO"/>
      <sheetName val="COMPARATIVO GLOBAL"/>
      <sheetName val="edad de empleados &quot;P&quot; "/>
    </sheetNames>
    <sheetDataSet>
      <sheetData sheetId="0" refreshError="1">
        <row r="8">
          <cell r="I8">
            <v>307560118</v>
          </cell>
          <cell r="J8">
            <v>0</v>
          </cell>
        </row>
        <row r="9">
          <cell r="I9">
            <v>209881081</v>
          </cell>
          <cell r="J9">
            <v>0</v>
          </cell>
        </row>
        <row r="11">
          <cell r="I11">
            <v>517441199</v>
          </cell>
          <cell r="J11">
            <v>0</v>
          </cell>
        </row>
        <row r="12">
          <cell r="I12">
            <v>32706744.140000001</v>
          </cell>
          <cell r="J12">
            <v>157</v>
          </cell>
        </row>
        <row r="13">
          <cell r="I13">
            <v>10243264.48</v>
          </cell>
          <cell r="J13">
            <v>228</v>
          </cell>
        </row>
        <row r="14">
          <cell r="I14">
            <v>52509047.629999995</v>
          </cell>
          <cell r="J14">
            <v>61</v>
          </cell>
        </row>
        <row r="16">
          <cell r="I16">
            <v>102960501.67</v>
          </cell>
          <cell r="J16">
            <v>14961</v>
          </cell>
        </row>
        <row r="17">
          <cell r="I17">
            <v>44855503.149999999</v>
          </cell>
          <cell r="J17">
            <v>-1391742.401609689</v>
          </cell>
        </row>
        <row r="18">
          <cell r="I18">
            <v>89762451.75</v>
          </cell>
          <cell r="J18">
            <v>-143511.65878340602</v>
          </cell>
        </row>
        <row r="20">
          <cell r="I20">
            <v>6456089</v>
          </cell>
          <cell r="J20">
            <v>-824872.64402966667</v>
          </cell>
        </row>
        <row r="21">
          <cell r="I21">
            <v>3066490.5</v>
          </cell>
          <cell r="J21">
            <v>-837165.03425335465</v>
          </cell>
        </row>
        <row r="22">
          <cell r="I22">
            <v>13963946.98</v>
          </cell>
          <cell r="J22">
            <v>5476590.1017196476</v>
          </cell>
        </row>
        <row r="23">
          <cell r="I23">
            <v>1227930.77</v>
          </cell>
          <cell r="J23">
            <v>1184117.2799068643</v>
          </cell>
        </row>
        <row r="24">
          <cell r="I24">
            <v>4592975.79</v>
          </cell>
          <cell r="J24">
            <v>-1225917.1606967468</v>
          </cell>
        </row>
        <row r="25">
          <cell r="I25">
            <v>20445177.010000002</v>
          </cell>
          <cell r="J25">
            <v>-13231678.671173085</v>
          </cell>
        </row>
        <row r="29">
          <cell r="I29">
            <v>20613852.129999999</v>
          </cell>
          <cell r="J29">
            <v>-1362199.5320105478</v>
          </cell>
        </row>
        <row r="33">
          <cell r="I33">
            <v>510902138.81</v>
          </cell>
          <cell r="J33">
            <v>-12416191.579727411</v>
          </cell>
        </row>
        <row r="34">
          <cell r="I34">
            <v>73849589.75</v>
          </cell>
          <cell r="J34">
            <v>-9525329.4005978554</v>
          </cell>
        </row>
        <row r="35">
          <cell r="I35">
            <v>31849267.199999999</v>
          </cell>
          <cell r="J35">
            <v>-3824257.4127516337</v>
          </cell>
        </row>
        <row r="36">
          <cell r="I36">
            <v>22904751.640000001</v>
          </cell>
          <cell r="J36">
            <v>-3869414.5812738873</v>
          </cell>
        </row>
        <row r="37">
          <cell r="I37">
            <v>13061729.01</v>
          </cell>
          <cell r="J37">
            <v>-3543144.310273502</v>
          </cell>
        </row>
        <row r="39">
          <cell r="I39">
            <v>652567476.40999997</v>
          </cell>
          <cell r="J39">
            <v>-33178337.284624338</v>
          </cell>
        </row>
        <row r="40">
          <cell r="I40">
            <v>735735.17</v>
          </cell>
          <cell r="J40">
            <v>285244.55788228533</v>
          </cell>
        </row>
        <row r="41">
          <cell r="I41">
            <v>40495.9</v>
          </cell>
          <cell r="J41">
            <v>21105.862146337357</v>
          </cell>
        </row>
        <row r="42">
          <cell r="I42">
            <v>1607360.2</v>
          </cell>
          <cell r="J42">
            <v>520483.54601779697</v>
          </cell>
        </row>
        <row r="43">
          <cell r="I43">
            <v>211682.3</v>
          </cell>
          <cell r="J43">
            <v>93897.730882829695</v>
          </cell>
        </row>
        <row r="44">
          <cell r="I44">
            <v>290385.82999999996</v>
          </cell>
          <cell r="J44">
            <v>169352.92368459678</v>
          </cell>
        </row>
        <row r="45">
          <cell r="I45">
            <v>0</v>
          </cell>
          <cell r="J45">
            <v>0</v>
          </cell>
        </row>
        <row r="46">
          <cell r="I46">
            <v>147895</v>
          </cell>
          <cell r="J46">
            <v>208716.60819465137</v>
          </cell>
        </row>
        <row r="49">
          <cell r="I49">
            <v>655739271.24000001</v>
          </cell>
          <cell r="J49">
            <v>-31918704.151584148</v>
          </cell>
        </row>
        <row r="50">
          <cell r="I50">
            <v>168000</v>
          </cell>
          <cell r="J50">
            <v>36500</v>
          </cell>
        </row>
        <row r="51">
          <cell r="I51">
            <v>181001.05</v>
          </cell>
          <cell r="J51">
            <v>358031.95</v>
          </cell>
        </row>
        <row r="52">
          <cell r="I52">
            <v>0</v>
          </cell>
          <cell r="J52">
            <v>0</v>
          </cell>
        </row>
        <row r="53">
          <cell r="I53">
            <v>23713675.899999999</v>
          </cell>
          <cell r="J53">
            <v>-4676884.8999999985</v>
          </cell>
        </row>
        <row r="54">
          <cell r="I54">
            <v>16195</v>
          </cell>
          <cell r="J54">
            <v>335137</v>
          </cell>
        </row>
        <row r="55">
          <cell r="I55">
            <v>1746494.88</v>
          </cell>
          <cell r="J55">
            <v>1149611.5700000003</v>
          </cell>
        </row>
        <row r="56">
          <cell r="I56">
            <v>4212298.28</v>
          </cell>
          <cell r="J56">
            <v>-17910.730000000447</v>
          </cell>
        </row>
        <row r="57">
          <cell r="I57">
            <v>1208098</v>
          </cell>
          <cell r="J57">
            <v>2950593.19</v>
          </cell>
        </row>
        <row r="58">
          <cell r="I58">
            <v>-548545.14000000013</v>
          </cell>
          <cell r="J58">
            <v>2881176.21</v>
          </cell>
        </row>
        <row r="61">
          <cell r="I61">
            <v>30565546.969999999</v>
          </cell>
          <cell r="J61">
            <v>3266212.2900000014</v>
          </cell>
        </row>
        <row r="63">
          <cell r="I63">
            <v>8524380</v>
          </cell>
          <cell r="J63">
            <v>8521861</v>
          </cell>
        </row>
        <row r="64">
          <cell r="I64" t="e">
            <v>#REF!</v>
          </cell>
          <cell r="J64" t="e">
            <v>#REF!</v>
          </cell>
        </row>
        <row r="65">
          <cell r="I65">
            <v>10506725.57</v>
          </cell>
          <cell r="J65">
            <v>2519</v>
          </cell>
        </row>
        <row r="66">
          <cell r="I66">
            <v>10183033.52</v>
          </cell>
          <cell r="J66">
            <v>59</v>
          </cell>
        </row>
        <row r="67">
          <cell r="I67">
            <v>1003318.21</v>
          </cell>
          <cell r="J67">
            <v>162</v>
          </cell>
        </row>
        <row r="69">
          <cell r="I69">
            <v>6363922.6299999999</v>
          </cell>
          <cell r="J69">
            <v>118</v>
          </cell>
        </row>
        <row r="70">
          <cell r="I70" t="e">
            <v>#REF!</v>
          </cell>
          <cell r="J70" t="e">
            <v>#REF!</v>
          </cell>
        </row>
        <row r="71">
          <cell r="I71">
            <v>58016772.629999995</v>
          </cell>
          <cell r="J71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br"/>
      <sheetName val="IyE-2010"/>
    </sheetNames>
    <sheetDataSet>
      <sheetData sheetId="0">
        <row r="15">
          <cell r="BC15">
            <v>6079931.239770405</v>
          </cell>
          <cell r="BE15">
            <v>1463462.5933446845</v>
          </cell>
        </row>
        <row r="16">
          <cell r="BC16">
            <v>2975939.1695856932</v>
          </cell>
          <cell r="BE16">
            <v>1633339.6160049674</v>
          </cell>
        </row>
        <row r="17">
          <cell r="BC17">
            <v>4237497.2043051319</v>
          </cell>
          <cell r="BE17">
            <v>4093168.8669182672</v>
          </cell>
        </row>
        <row r="18">
          <cell r="BC18">
            <v>822368.59943773807</v>
          </cell>
          <cell r="BE18">
            <v>275652.09234687546</v>
          </cell>
        </row>
        <row r="19">
          <cell r="BC19">
            <v>164160.68507001724</v>
          </cell>
          <cell r="BE19">
            <v>437005.96322179225</v>
          </cell>
        </row>
        <row r="20">
          <cell r="BC20">
            <v>3340291.3721816116</v>
          </cell>
          <cell r="BE20">
            <v>1851303.6253824572</v>
          </cell>
        </row>
        <row r="21">
          <cell r="BC21">
            <v>278331.60419456242</v>
          </cell>
          <cell r="BE21">
            <v>452341.41682278033</v>
          </cell>
        </row>
        <row r="22">
          <cell r="BC22">
            <v>764374.46587642678</v>
          </cell>
          <cell r="BE22">
            <v>580913.03311852505</v>
          </cell>
        </row>
        <row r="23">
          <cell r="BC23">
            <v>5910861.0321130296</v>
          </cell>
          <cell r="BE23">
            <v>3287673.9511223519</v>
          </cell>
        </row>
        <row r="28">
          <cell r="BC28">
            <v>1631030.7499109756</v>
          </cell>
          <cell r="BE28">
            <v>798246.12025616819</v>
          </cell>
          <cell r="BG28">
            <v>3678048.3654001523</v>
          </cell>
        </row>
        <row r="34">
          <cell r="BC34">
            <v>71809800.576960206</v>
          </cell>
          <cell r="BE34">
            <v>110150741.61420856</v>
          </cell>
        </row>
        <row r="35">
          <cell r="BC35">
            <v>9676687.4214075692</v>
          </cell>
          <cell r="BE35">
            <v>10160518.414879939</v>
          </cell>
        </row>
        <row r="36">
          <cell r="BC36">
            <v>4549501.9361230433</v>
          </cell>
          <cell r="BE36">
            <v>5017300.6773466393</v>
          </cell>
        </row>
        <row r="37">
          <cell r="BC37">
            <v>5736671.5105767576</v>
          </cell>
          <cell r="BE37">
            <v>3699923.2412038427</v>
          </cell>
        </row>
        <row r="38">
          <cell r="BC38">
            <v>2865098.0274635707</v>
          </cell>
          <cell r="BE38">
            <v>4439819.4123308854</v>
          </cell>
        </row>
        <row r="40">
          <cell r="BC40">
            <v>134189.29112400539</v>
          </cell>
          <cell r="BE40">
            <v>80680.329562989617</v>
          </cell>
        </row>
        <row r="41">
          <cell r="BC41">
            <v>51438.284987655708</v>
          </cell>
          <cell r="BE41">
            <v>152608.28313650077</v>
          </cell>
        </row>
        <row r="42">
          <cell r="BC42">
            <v>197369.18522353831</v>
          </cell>
          <cell r="BE42">
            <v>196982.16500837167</v>
          </cell>
        </row>
        <row r="43">
          <cell r="BC43">
            <v>63044.19556593473</v>
          </cell>
          <cell r="BE43">
            <v>492.26732112698448</v>
          </cell>
        </row>
        <row r="44">
          <cell r="BC44">
            <v>76111.303032556069</v>
          </cell>
          <cell r="BE44">
            <v>28690.402096816135</v>
          </cell>
        </row>
        <row r="45">
          <cell r="BC45">
            <v>0</v>
          </cell>
          <cell r="BE45">
            <v>0</v>
          </cell>
        </row>
        <row r="46">
          <cell r="BC46">
            <v>1372.3648448897538</v>
          </cell>
          <cell r="BE46">
            <v>0</v>
          </cell>
        </row>
        <row r="47">
          <cell r="BC47">
            <v>2677.4289587981384</v>
          </cell>
          <cell r="BE47">
            <v>2655.5285381131589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/>
      <sheetData sheetId="3">
        <row r="17">
          <cell r="L17">
            <v>81114402.842792079</v>
          </cell>
        </row>
        <row r="18">
          <cell r="L18">
            <v>194245373.18357006</v>
          </cell>
        </row>
        <row r="19">
          <cell r="L19">
            <v>64348444.288626276</v>
          </cell>
        </row>
        <row r="20">
          <cell r="L20">
            <v>8913588.0673187654</v>
          </cell>
        </row>
        <row r="21">
          <cell r="L21">
            <v>3035016.0390844303</v>
          </cell>
        </row>
        <row r="22">
          <cell r="L22">
            <v>22765276.780012526</v>
          </cell>
        </row>
        <row r="23">
          <cell r="L23">
            <v>3817340.029065263</v>
          </cell>
        </row>
        <row r="24">
          <cell r="L24">
            <v>4858090.2598897014</v>
          </cell>
        </row>
        <row r="25">
          <cell r="L25">
            <v>24965238.547236495</v>
          </cell>
        </row>
        <row r="29">
          <cell r="L29">
            <v>54057853.204547785</v>
          </cell>
        </row>
        <row r="33">
          <cell r="L33">
            <v>678019387.35778618</v>
          </cell>
        </row>
        <row r="34">
          <cell r="L34">
            <v>104734916.44971266</v>
          </cell>
        </row>
        <row r="35">
          <cell r="L35">
            <v>50465980.440673903</v>
          </cell>
        </row>
        <row r="36">
          <cell r="L36">
            <v>42814384.185960583</v>
          </cell>
        </row>
        <row r="37">
          <cell r="L37">
            <v>29654467.463565357</v>
          </cell>
        </row>
        <row r="40">
          <cell r="L40">
            <v>1168642.4279560063</v>
          </cell>
        </row>
        <row r="41">
          <cell r="L41">
            <v>512392.98416286852</v>
          </cell>
        </row>
        <row r="42">
          <cell r="L42">
            <v>2668873.4285536562</v>
          </cell>
        </row>
        <row r="43">
          <cell r="L43">
            <v>191524.14598285177</v>
          </cell>
        </row>
        <row r="44">
          <cell r="L44">
            <v>454339.40956214274</v>
          </cell>
        </row>
        <row r="46">
          <cell r="L46">
            <v>128774.52902193912</v>
          </cell>
        </row>
        <row r="47">
          <cell r="L47">
            <v>234423.79172510529</v>
          </cell>
        </row>
        <row r="50">
          <cell r="L50">
            <v>425000</v>
          </cell>
        </row>
        <row r="51">
          <cell r="L51">
            <v>100000</v>
          </cell>
        </row>
        <row r="52">
          <cell r="L52">
            <v>0</v>
          </cell>
        </row>
        <row r="53">
          <cell r="L53">
            <v>23688008</v>
          </cell>
        </row>
        <row r="54">
          <cell r="L54">
            <v>4950000</v>
          </cell>
        </row>
        <row r="55">
          <cell r="L55">
            <v>9800000</v>
          </cell>
        </row>
        <row r="56">
          <cell r="L56">
            <v>3839751</v>
          </cell>
        </row>
        <row r="57">
          <cell r="L57">
            <v>3500000</v>
          </cell>
        </row>
        <row r="58">
          <cell r="L58">
            <v>4920000</v>
          </cell>
        </row>
        <row r="59">
          <cell r="L59">
            <v>435000</v>
          </cell>
        </row>
        <row r="60">
          <cell r="L6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H9">
            <v>627817199</v>
          </cell>
        </row>
      </sheetData>
      <sheetData sheetId="3">
        <row r="17">
          <cell r="L17">
            <v>88657796.675907165</v>
          </cell>
        </row>
        <row r="18">
          <cell r="L18">
            <v>198854651.96916074</v>
          </cell>
        </row>
        <row r="19">
          <cell r="L19">
            <v>72679110.359849676</v>
          </cell>
        </row>
        <row r="20">
          <cell r="L20">
            <v>10011608.759103378</v>
          </cell>
        </row>
        <row r="21">
          <cell r="L21">
            <v>3636182.6873762398</v>
          </cell>
        </row>
        <row r="22">
          <cell r="L22">
            <v>27956871.777576596</v>
          </cell>
        </row>
        <row r="23">
          <cell r="L23">
            <v>4548013.0500826053</v>
          </cell>
        </row>
        <row r="24">
          <cell r="L24">
            <v>6203377.7588846534</v>
          </cell>
        </row>
        <row r="25">
          <cell r="L25">
            <v>34163772.530471876</v>
          </cell>
        </row>
        <row r="29">
          <cell r="L29">
            <v>56487130.074714929</v>
          </cell>
        </row>
        <row r="33">
          <cell r="L33">
            <v>904509016.31895494</v>
          </cell>
        </row>
        <row r="34">
          <cell r="L34">
            <v>124572122.28600016</v>
          </cell>
        </row>
        <row r="35">
          <cell r="L35">
            <v>60032783.054143585</v>
          </cell>
        </row>
        <row r="36">
          <cell r="L36">
            <v>52250978.937741183</v>
          </cell>
        </row>
        <row r="37">
          <cell r="L37">
            <v>36959384.903359815</v>
          </cell>
        </row>
        <row r="40">
          <cell r="L40">
            <v>1383512.0486430011</v>
          </cell>
        </row>
        <row r="41">
          <cell r="L41">
            <v>716439.55228702503</v>
          </cell>
        </row>
        <row r="42">
          <cell r="L42">
            <v>3063224.7787855663</v>
          </cell>
        </row>
        <row r="43">
          <cell r="L43">
            <v>255060.60886991347</v>
          </cell>
        </row>
        <row r="44">
          <cell r="L44">
            <v>559141.11469151487</v>
          </cell>
        </row>
        <row r="46">
          <cell r="L46">
            <v>130146.89386682888</v>
          </cell>
        </row>
        <row r="47">
          <cell r="L47">
            <v>239756.7492220166</v>
          </cell>
        </row>
        <row r="50">
          <cell r="L50">
            <v>595000</v>
          </cell>
        </row>
        <row r="51">
          <cell r="L51">
            <v>100000</v>
          </cell>
        </row>
        <row r="52">
          <cell r="L52">
            <v>0</v>
          </cell>
        </row>
        <row r="53">
          <cell r="L53">
            <v>31007510</v>
          </cell>
        </row>
        <row r="54">
          <cell r="L54">
            <v>5450000</v>
          </cell>
        </row>
        <row r="55">
          <cell r="L55">
            <v>11100000</v>
          </cell>
        </row>
        <row r="56">
          <cell r="L56">
            <v>4639751</v>
          </cell>
        </row>
        <row r="57">
          <cell r="L57">
            <v>3700000</v>
          </cell>
        </row>
        <row r="58">
          <cell r="L58">
            <v>6040000</v>
          </cell>
        </row>
        <row r="59">
          <cell r="L59">
            <v>605000</v>
          </cell>
        </row>
        <row r="60">
          <cell r="L60">
            <v>0</v>
          </cell>
        </row>
      </sheetData>
      <sheetData sheetId="4"/>
      <sheetData sheetId="5"/>
      <sheetData sheetId="6">
        <row r="6">
          <cell r="E6">
            <v>95825408</v>
          </cell>
        </row>
        <row r="7">
          <cell r="E7">
            <v>82639399</v>
          </cell>
        </row>
        <row r="8">
          <cell r="E8">
            <v>0</v>
          </cell>
        </row>
        <row r="10">
          <cell r="E10">
            <v>3677805.73</v>
          </cell>
        </row>
        <row r="11">
          <cell r="E11">
            <v>1920000.05</v>
          </cell>
        </row>
        <row r="12">
          <cell r="E12">
            <v>0</v>
          </cell>
        </row>
        <row r="13">
          <cell r="E13">
            <v>2129641.21</v>
          </cell>
        </row>
        <row r="15">
          <cell r="E15">
            <v>3080288.35</v>
          </cell>
        </row>
        <row r="16">
          <cell r="E16">
            <v>2083446.75</v>
          </cell>
        </row>
        <row r="17">
          <cell r="E17">
            <v>3922296.16</v>
          </cell>
        </row>
        <row r="18">
          <cell r="E18">
            <v>654147</v>
          </cell>
        </row>
        <row r="19">
          <cell r="E19">
            <v>1236050</v>
          </cell>
        </row>
        <row r="20">
          <cell r="E20">
            <v>278599.46000000002</v>
          </cell>
        </row>
        <row r="21">
          <cell r="E21">
            <v>685389.56</v>
          </cell>
        </row>
        <row r="22">
          <cell r="E22">
            <v>423695.94</v>
          </cell>
        </row>
        <row r="23">
          <cell r="E23">
            <v>920429.91</v>
          </cell>
        </row>
        <row r="24">
          <cell r="E24">
            <v>12388624.620000001</v>
          </cell>
        </row>
        <row r="29">
          <cell r="E29">
            <v>1648476.01</v>
          </cell>
        </row>
        <row r="34">
          <cell r="E34">
            <v>119780918.27</v>
          </cell>
        </row>
        <row r="35">
          <cell r="E35">
            <v>19614939.41</v>
          </cell>
        </row>
        <row r="36">
          <cell r="E36">
            <v>8303613.4000000004</v>
          </cell>
        </row>
        <row r="37">
          <cell r="E37">
            <v>3787906.03</v>
          </cell>
        </row>
        <row r="38">
          <cell r="E38">
            <v>2998091.59</v>
          </cell>
        </row>
        <row r="40">
          <cell r="E40">
            <v>193121.45</v>
          </cell>
        </row>
        <row r="41">
          <cell r="E41">
            <v>61985.04</v>
          </cell>
        </row>
        <row r="42">
          <cell r="E42">
            <v>243669.64</v>
          </cell>
        </row>
        <row r="43">
          <cell r="E43">
            <v>42262</v>
          </cell>
        </row>
        <row r="44">
          <cell r="E44">
            <v>69877.210000000006</v>
          </cell>
        </row>
        <row r="45">
          <cell r="E45">
            <v>0</v>
          </cell>
        </row>
        <row r="46">
          <cell r="E46">
            <v>27062.560000000001</v>
          </cell>
        </row>
        <row r="47">
          <cell r="E47">
            <v>81126.11</v>
          </cell>
        </row>
        <row r="52">
          <cell r="E52">
            <v>232400</v>
          </cell>
        </row>
        <row r="53">
          <cell r="E53">
            <v>1802401.91</v>
          </cell>
        </row>
        <row r="54">
          <cell r="E54">
            <v>2196315.79</v>
          </cell>
        </row>
        <row r="55">
          <cell r="E55">
            <v>482161.14</v>
          </cell>
        </row>
        <row r="56">
          <cell r="E56">
            <v>0</v>
          </cell>
        </row>
        <row r="57">
          <cell r="E57">
            <v>932148.66</v>
          </cell>
        </row>
      </sheetData>
      <sheetData sheetId="7">
        <row r="6">
          <cell r="Z6">
            <v>627817199</v>
          </cell>
        </row>
        <row r="7">
          <cell r="Z7">
            <v>399656089</v>
          </cell>
        </row>
        <row r="8">
          <cell r="Z8">
            <v>0</v>
          </cell>
        </row>
        <row r="10">
          <cell r="Z10">
            <v>33061906.41</v>
          </cell>
        </row>
        <row r="11">
          <cell r="Z11">
            <v>10963864.179999998</v>
          </cell>
        </row>
        <row r="12">
          <cell r="Z12">
            <v>0</v>
          </cell>
        </row>
        <row r="13">
          <cell r="Z13">
            <v>19858117.149999999</v>
          </cell>
        </row>
        <row r="15">
          <cell r="Z15">
            <v>88883858.840000004</v>
          </cell>
        </row>
        <row r="16">
          <cell r="Z16">
            <v>196936442.40000001</v>
          </cell>
        </row>
        <row r="17">
          <cell r="Z17">
            <v>72033245.769999996</v>
          </cell>
        </row>
        <row r="18">
          <cell r="Z18">
            <v>9631389.3100000005</v>
          </cell>
        </row>
        <row r="19">
          <cell r="Z19">
            <v>7570976</v>
          </cell>
        </row>
        <row r="20">
          <cell r="Z20">
            <v>2700496.72</v>
          </cell>
        </row>
        <row r="21">
          <cell r="Z21">
            <v>25496633.090000004</v>
          </cell>
        </row>
        <row r="22">
          <cell r="Z22">
            <v>3716575.94</v>
          </cell>
        </row>
        <row r="23">
          <cell r="Z23">
            <v>6157232.9299999997</v>
          </cell>
        </row>
        <row r="24">
          <cell r="Z24">
            <v>46004696.319999993</v>
          </cell>
        </row>
        <row r="29">
          <cell r="Z29">
            <v>57489203.960000008</v>
          </cell>
        </row>
        <row r="33">
          <cell r="Z33">
            <v>913476196.70999992</v>
          </cell>
        </row>
        <row r="35">
          <cell r="Z35">
            <v>67226391.739999995</v>
          </cell>
        </row>
        <row r="36">
          <cell r="Z36">
            <v>45427182.539999999</v>
          </cell>
        </row>
        <row r="37">
          <cell r="Z37">
            <v>35529406.560000002</v>
          </cell>
        </row>
        <row r="39">
          <cell r="Z39">
            <v>1322618.7</v>
          </cell>
        </row>
        <row r="40">
          <cell r="Z40">
            <v>1326710.81</v>
          </cell>
        </row>
        <row r="41">
          <cell r="Z41">
            <v>3552630.25</v>
          </cell>
        </row>
        <row r="42">
          <cell r="Z42">
            <v>434279.4</v>
          </cell>
        </row>
        <row r="43">
          <cell r="Z43">
            <v>536342.77</v>
          </cell>
        </row>
        <row r="44">
          <cell r="Z44">
            <v>0</v>
          </cell>
        </row>
        <row r="45">
          <cell r="Z45">
            <v>229228.97</v>
          </cell>
        </row>
        <row r="46">
          <cell r="Z46">
            <v>168660.6</v>
          </cell>
        </row>
        <row r="51">
          <cell r="Z51">
            <v>1408492</v>
          </cell>
        </row>
        <row r="53">
          <cell r="Z53">
            <v>10270197.720000003</v>
          </cell>
        </row>
        <row r="54">
          <cell r="Z54">
            <v>3930605.77</v>
          </cell>
        </row>
        <row r="55">
          <cell r="Z55">
            <v>0</v>
          </cell>
        </row>
        <row r="56">
          <cell r="Z56">
            <v>7541704.7699999996</v>
          </cell>
        </row>
      </sheetData>
      <sheetData sheetId="8">
        <row r="7">
          <cell r="J7">
            <v>627817199</v>
          </cell>
        </row>
      </sheetData>
      <sheetData sheetId="9">
        <row r="35">
          <cell r="AA35">
            <v>145725189.26999998</v>
          </cell>
        </row>
        <row r="51">
          <cell r="Y51">
            <v>0</v>
          </cell>
          <cell r="AA51">
            <v>79773.600000000006</v>
          </cell>
        </row>
        <row r="52">
          <cell r="Y52">
            <v>3456.7</v>
          </cell>
          <cell r="AA52">
            <v>153767.64000000001</v>
          </cell>
        </row>
        <row r="53">
          <cell r="Y53">
            <v>0</v>
          </cell>
          <cell r="AA53">
            <v>0</v>
          </cell>
        </row>
        <row r="54">
          <cell r="Y54">
            <v>1044929.2</v>
          </cell>
          <cell r="AA54">
            <v>31592082.41</v>
          </cell>
        </row>
        <row r="55">
          <cell r="Y55">
            <v>0</v>
          </cell>
          <cell r="AA55">
            <v>4029125.4299999997</v>
          </cell>
        </row>
        <row r="56">
          <cell r="Y56">
            <v>952464.04</v>
          </cell>
          <cell r="AA56">
            <v>10796488.380000001</v>
          </cell>
        </row>
        <row r="57">
          <cell r="Y57">
            <v>513996.98</v>
          </cell>
          <cell r="AA57">
            <v>4742627.47</v>
          </cell>
        </row>
        <row r="58">
          <cell r="Y58">
            <v>479792</v>
          </cell>
          <cell r="AA58">
            <v>2831495</v>
          </cell>
        </row>
        <row r="59">
          <cell r="Y59">
            <v>492565.15</v>
          </cell>
          <cell r="AA59">
            <v>6784043.8200000003</v>
          </cell>
        </row>
        <row r="60">
          <cell r="Y60">
            <v>0</v>
          </cell>
          <cell r="AA60">
            <v>236894</v>
          </cell>
        </row>
        <row r="61">
          <cell r="Y61">
            <v>0</v>
          </cell>
          <cell r="AA61">
            <v>0</v>
          </cell>
        </row>
        <row r="67">
          <cell r="AA67">
            <v>14424153.469999999</v>
          </cell>
        </row>
        <row r="73">
          <cell r="Y73">
            <v>0</v>
          </cell>
          <cell r="AA73">
            <v>5370168</v>
          </cell>
        </row>
        <row r="74">
          <cell r="Y74">
            <v>1486113.15</v>
          </cell>
          <cell r="AA74">
            <v>21976831.739999998</v>
          </cell>
        </row>
        <row r="75">
          <cell r="Y75">
            <v>0</v>
          </cell>
          <cell r="AA75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dic"/>
      <sheetName val="Balance General Dic 2011"/>
    </sheetNames>
    <sheetDataSet>
      <sheetData sheetId="0"/>
      <sheetData sheetId="1"/>
      <sheetData sheetId="2"/>
      <sheetData sheetId="3"/>
      <sheetData sheetId="4"/>
      <sheetData sheetId="5">
        <row r="40">
          <cell r="N40">
            <v>0</v>
          </cell>
        </row>
      </sheetData>
      <sheetData sheetId="6">
        <row r="6">
          <cell r="E6">
            <v>64895958</v>
          </cell>
        </row>
        <row r="7">
          <cell r="E7">
            <v>36982135</v>
          </cell>
        </row>
        <row r="8">
          <cell r="E8">
            <v>0</v>
          </cell>
        </row>
        <row r="10">
          <cell r="E10">
            <v>3586004.96</v>
          </cell>
        </row>
        <row r="11">
          <cell r="E11">
            <v>1099313.43</v>
          </cell>
        </row>
        <row r="12">
          <cell r="E12">
            <v>956444.66</v>
          </cell>
        </row>
        <row r="13">
          <cell r="E13">
            <v>3556096.15</v>
          </cell>
        </row>
        <row r="15">
          <cell r="E15">
            <v>5671907.6699999999</v>
          </cell>
        </row>
        <row r="16">
          <cell r="E16">
            <v>2454669.9900000002</v>
          </cell>
        </row>
        <row r="17">
          <cell r="E17">
            <v>3328650.03</v>
          </cell>
        </row>
        <row r="18">
          <cell r="E18">
            <v>1208176.1599999999</v>
          </cell>
        </row>
        <row r="19">
          <cell r="E19">
            <v>1109546</v>
          </cell>
        </row>
        <row r="20">
          <cell r="E20">
            <v>682336.51</v>
          </cell>
        </row>
        <row r="21">
          <cell r="E21">
            <v>667362.51</v>
          </cell>
        </row>
        <row r="22">
          <cell r="E22">
            <v>303915.64</v>
          </cell>
        </row>
        <row r="23">
          <cell r="E23">
            <v>1553550.97</v>
          </cell>
        </row>
        <row r="24">
          <cell r="E24">
            <v>21716042.379999999</v>
          </cell>
        </row>
        <row r="29">
          <cell r="E29">
            <v>2558582.06</v>
          </cell>
        </row>
        <row r="34">
          <cell r="E34">
            <v>114579216.26000001</v>
          </cell>
        </row>
        <row r="35">
          <cell r="E35">
            <v>30410647.600000001</v>
          </cell>
        </row>
        <row r="36">
          <cell r="E36">
            <v>4511641.9800000004</v>
          </cell>
        </row>
        <row r="37">
          <cell r="E37">
            <v>4346790.33</v>
          </cell>
        </row>
        <row r="38">
          <cell r="E38">
            <v>5509811.1200000001</v>
          </cell>
        </row>
        <row r="40">
          <cell r="E40">
            <v>210604.23</v>
          </cell>
        </row>
        <row r="41">
          <cell r="E41">
            <v>89722.58</v>
          </cell>
        </row>
        <row r="42">
          <cell r="E42">
            <v>487164.23</v>
          </cell>
        </row>
        <row r="43">
          <cell r="E43">
            <v>24320.26</v>
          </cell>
        </row>
        <row r="44">
          <cell r="E44">
            <v>146799.17000000001</v>
          </cell>
        </row>
        <row r="45">
          <cell r="E45">
            <v>0</v>
          </cell>
        </row>
        <row r="46">
          <cell r="E46">
            <v>76348.03</v>
          </cell>
        </row>
        <row r="47">
          <cell r="E47">
            <v>7694.52</v>
          </cell>
        </row>
        <row r="52">
          <cell r="E52">
            <v>1112590</v>
          </cell>
        </row>
        <row r="53">
          <cell r="E53">
            <v>2886313.94</v>
          </cell>
        </row>
        <row r="54">
          <cell r="E54">
            <v>943828.12</v>
          </cell>
        </row>
        <row r="55">
          <cell r="E55">
            <v>447929.95</v>
          </cell>
        </row>
        <row r="56">
          <cell r="E56">
            <v>0</v>
          </cell>
        </row>
        <row r="57">
          <cell r="E57">
            <v>524935.82999999996</v>
          </cell>
        </row>
      </sheetData>
      <sheetData sheetId="7">
        <row r="6">
          <cell r="AB6">
            <v>692713157</v>
          </cell>
        </row>
        <row r="7">
          <cell r="AB7">
            <v>436638224</v>
          </cell>
        </row>
        <row r="8">
          <cell r="AB8">
            <v>0</v>
          </cell>
        </row>
        <row r="10">
          <cell r="AB10">
            <v>36647911.370000005</v>
          </cell>
        </row>
        <row r="11">
          <cell r="AB11">
            <v>12063177.609999999</v>
          </cell>
        </row>
        <row r="12">
          <cell r="AB12">
            <v>956444.66</v>
          </cell>
        </row>
        <row r="13">
          <cell r="AB13">
            <v>23414213.300000001</v>
          </cell>
        </row>
        <row r="15">
          <cell r="AB15">
            <v>94555766.50999999</v>
          </cell>
        </row>
        <row r="16">
          <cell r="AB16">
            <v>199391112.39000002</v>
          </cell>
        </row>
        <row r="17">
          <cell r="AB17">
            <v>75361895.799999997</v>
          </cell>
        </row>
        <row r="18">
          <cell r="AB18">
            <v>10839565.470000003</v>
          </cell>
        </row>
        <row r="19">
          <cell r="AB19">
            <v>8680522</v>
          </cell>
        </row>
        <row r="20">
          <cell r="AB20">
            <v>3382833.23</v>
          </cell>
        </row>
        <row r="21">
          <cell r="AB21">
            <v>26163995.600000001</v>
          </cell>
        </row>
        <row r="22">
          <cell r="AB22">
            <v>4020491.5800000005</v>
          </cell>
        </row>
        <row r="23">
          <cell r="AB23">
            <v>7710783.8999999994</v>
          </cell>
        </row>
        <row r="24">
          <cell r="AB24">
            <v>67720738.700000003</v>
          </cell>
        </row>
        <row r="29">
          <cell r="AB29">
            <v>60047786.020000003</v>
          </cell>
        </row>
        <row r="33">
          <cell r="AB33">
            <v>1028055412.9699999</v>
          </cell>
        </row>
        <row r="35">
          <cell r="AB35">
            <v>71738033.719999999</v>
          </cell>
        </row>
        <row r="36">
          <cell r="AB36">
            <v>49773972.870000005</v>
          </cell>
        </row>
        <row r="37">
          <cell r="AB37">
            <v>41039217.680000007</v>
          </cell>
        </row>
        <row r="39">
          <cell r="AB39">
            <v>1533222.93</v>
          </cell>
        </row>
        <row r="40">
          <cell r="AB40">
            <v>1416433.3900000001</v>
          </cell>
        </row>
        <row r="41">
          <cell r="AB41">
            <v>4039794.4800000004</v>
          </cell>
        </row>
        <row r="42">
          <cell r="AB42">
            <v>458599.66000000003</v>
          </cell>
        </row>
        <row r="43">
          <cell r="AB43">
            <v>683141.94</v>
          </cell>
        </row>
        <row r="44">
          <cell r="AB44">
            <v>0</v>
          </cell>
        </row>
        <row r="45">
          <cell r="AB45">
            <v>305577.00000000006</v>
          </cell>
        </row>
        <row r="46">
          <cell r="AB46">
            <v>176355.12</v>
          </cell>
        </row>
        <row r="51">
          <cell r="AB51">
            <v>2521082</v>
          </cell>
        </row>
        <row r="53">
          <cell r="AB53">
            <v>11214025.84</v>
          </cell>
        </row>
        <row r="54">
          <cell r="AB54">
            <v>4378535.72</v>
          </cell>
        </row>
        <row r="55">
          <cell r="AB55">
            <v>0</v>
          </cell>
        </row>
        <row r="56">
          <cell r="AB56">
            <v>8066640.5999999996</v>
          </cell>
        </row>
      </sheetData>
      <sheetData sheetId="8"/>
      <sheetData sheetId="9">
        <row r="6">
          <cell r="AA6">
            <v>64895958</v>
          </cell>
        </row>
        <row r="35">
          <cell r="AC35">
            <v>174235098.87</v>
          </cell>
        </row>
        <row r="51">
          <cell r="AA51">
            <v>0</v>
          </cell>
          <cell r="AC51">
            <v>79773.600000000006</v>
          </cell>
        </row>
        <row r="52">
          <cell r="AA52">
            <v>1200</v>
          </cell>
          <cell r="AC52">
            <v>154967.64000000001</v>
          </cell>
        </row>
        <row r="53">
          <cell r="AA53">
            <v>0</v>
          </cell>
          <cell r="AC53">
            <v>0</v>
          </cell>
        </row>
        <row r="54">
          <cell r="AA54">
            <v>4067136.8900000006</v>
          </cell>
          <cell r="AC54">
            <v>35659219.300000004</v>
          </cell>
        </row>
        <row r="55">
          <cell r="AA55">
            <v>8906.4</v>
          </cell>
          <cell r="AC55">
            <v>4038031.83</v>
          </cell>
        </row>
        <row r="56">
          <cell r="AA56">
            <v>641521.59</v>
          </cell>
          <cell r="AC56">
            <v>11438009.969999999</v>
          </cell>
        </row>
        <row r="57">
          <cell r="AA57">
            <v>2258698.27</v>
          </cell>
          <cell r="AC57">
            <v>7001325.7400000002</v>
          </cell>
        </row>
        <row r="58">
          <cell r="AA58">
            <v>0</v>
          </cell>
          <cell r="AC58">
            <v>2831495</v>
          </cell>
        </row>
        <row r="59">
          <cell r="AA59">
            <v>18947.64</v>
          </cell>
          <cell r="AC59">
            <v>6802991.4600000009</v>
          </cell>
        </row>
        <row r="60">
          <cell r="AA60">
            <v>127379.89999999991</v>
          </cell>
          <cell r="AC60">
            <v>364273.89999999991</v>
          </cell>
        </row>
        <row r="61">
          <cell r="AA61">
            <v>0</v>
          </cell>
          <cell r="AC61">
            <v>0</v>
          </cell>
        </row>
        <row r="67">
          <cell r="AC67">
            <v>16923482</v>
          </cell>
        </row>
        <row r="73">
          <cell r="AA73">
            <v>956444.66</v>
          </cell>
          <cell r="AC73">
            <v>6326612.6600000001</v>
          </cell>
        </row>
        <row r="74">
          <cell r="AA74">
            <v>1345964.74</v>
          </cell>
          <cell r="AC74">
            <v>23322795.829999998</v>
          </cell>
        </row>
        <row r="75">
          <cell r="AA75">
            <v>0</v>
          </cell>
          <cell r="AC75">
            <v>0</v>
          </cell>
        </row>
        <row r="89">
          <cell r="AH89">
            <v>1900738</v>
          </cell>
          <cell r="AI89">
            <v>386985</v>
          </cell>
        </row>
      </sheetData>
      <sheetData sheetId="10">
        <row r="31">
          <cell r="G31">
            <v>153950.79999999999</v>
          </cell>
        </row>
      </sheetData>
      <sheetData sheetId="11">
        <row r="64">
          <cell r="M64">
            <v>11018683.73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idios"/>
    </sheetNames>
    <sheetDataSet>
      <sheetData sheetId="0">
        <row r="83">
          <cell r="D83">
            <v>14408227</v>
          </cell>
        </row>
        <row r="84">
          <cell r="D84">
            <v>8165680</v>
          </cell>
        </row>
        <row r="92">
          <cell r="D92">
            <v>14408228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zoomScale="130" workbookViewId="0">
      <selection activeCell="D82" sqref="D82"/>
    </sheetView>
  </sheetViews>
  <sheetFormatPr baseColWidth="10" defaultRowHeight="12.75" x14ac:dyDescent="0.2"/>
  <cols>
    <col min="1" max="1" width="1.7109375" style="185" customWidth="1"/>
    <col min="2" max="2" width="2" style="186" customWidth="1"/>
    <col min="3" max="3" width="32.5703125" style="186" bestFit="1" customWidth="1"/>
    <col min="4" max="5" width="13.28515625" style="186" bestFit="1" customWidth="1"/>
    <col min="6" max="6" width="12.85546875" style="186" customWidth="1"/>
    <col min="7" max="7" width="5.7109375" style="186" hidden="1" customWidth="1"/>
    <col min="8" max="8" width="14.85546875" style="186" hidden="1" customWidth="1"/>
    <col min="9" max="9" width="13.28515625" style="186" hidden="1" customWidth="1"/>
    <col min="10" max="10" width="14.85546875" style="187" hidden="1" customWidth="1"/>
    <col min="11" max="11" width="2.5703125" style="148" customWidth="1"/>
    <col min="12" max="12" width="15.28515625" style="148" customWidth="1"/>
    <col min="13" max="13" width="15.140625" style="148" bestFit="1" customWidth="1"/>
    <col min="14" max="14" width="14.7109375" style="148" customWidth="1"/>
    <col min="15" max="15" width="11.42578125" style="148"/>
    <col min="16" max="17" width="14.85546875" style="148" bestFit="1" customWidth="1"/>
    <col min="18" max="18" width="12.85546875" style="148" bestFit="1" customWidth="1"/>
    <col min="19" max="16384" width="11.42578125" style="148"/>
  </cols>
  <sheetData>
    <row r="1" spans="1:17" ht="18" x14ac:dyDescent="0.25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3"/>
    </row>
    <row r="2" spans="1:17" ht="15.75" x14ac:dyDescent="0.25">
      <c r="A2" s="294" t="s">
        <v>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6"/>
    </row>
    <row r="3" spans="1:17" ht="16.5" thickBot="1" x14ac:dyDescent="0.3">
      <c r="A3" s="294" t="s">
        <v>2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6"/>
    </row>
    <row r="4" spans="1:17" ht="13.5" thickBot="1" x14ac:dyDescent="0.25">
      <c r="A4" s="149"/>
      <c r="B4" s="150"/>
      <c r="C4" s="150"/>
      <c r="D4" s="151"/>
      <c r="E4" s="151"/>
      <c r="F4" s="152"/>
      <c r="G4" s="153"/>
      <c r="H4" s="154"/>
      <c r="I4" s="155"/>
      <c r="J4" s="156"/>
      <c r="K4" s="157"/>
      <c r="L4" s="151"/>
      <c r="M4" s="151"/>
      <c r="N4" s="152"/>
    </row>
    <row r="5" spans="1:17" ht="16.5" thickBot="1" x14ac:dyDescent="0.3">
      <c r="A5" s="158"/>
      <c r="B5" s="159"/>
      <c r="C5" s="160"/>
      <c r="D5" s="297" t="s">
        <v>103</v>
      </c>
      <c r="E5" s="298"/>
      <c r="F5" s="299"/>
      <c r="G5" s="161">
        <v>0</v>
      </c>
      <c r="H5" s="162" t="s">
        <v>4</v>
      </c>
      <c r="I5" s="163"/>
      <c r="J5" s="164"/>
      <c r="K5" s="165"/>
      <c r="L5" s="297" t="s">
        <v>104</v>
      </c>
      <c r="M5" s="298"/>
      <c r="N5" s="299"/>
    </row>
    <row r="6" spans="1:17" x14ac:dyDescent="0.2">
      <c r="A6" s="166"/>
      <c r="B6" s="167"/>
      <c r="C6" s="168"/>
      <c r="D6" s="169" t="s">
        <v>6</v>
      </c>
      <c r="E6" s="170" t="s">
        <v>7</v>
      </c>
      <c r="F6" s="171" t="s">
        <v>8</v>
      </c>
      <c r="G6" s="172"/>
      <c r="H6" s="173" t="s">
        <v>6</v>
      </c>
      <c r="I6" s="170" t="s">
        <v>7</v>
      </c>
      <c r="J6" s="174" t="s">
        <v>8</v>
      </c>
      <c r="K6" s="175"/>
      <c r="L6" s="169" t="s">
        <v>6</v>
      </c>
      <c r="M6" s="170" t="s">
        <v>7</v>
      </c>
      <c r="N6" s="174" t="s">
        <v>8</v>
      </c>
    </row>
    <row r="7" spans="1:17" x14ac:dyDescent="0.2">
      <c r="A7" s="176" t="s">
        <v>9</v>
      </c>
      <c r="B7" s="177"/>
      <c r="C7" s="178"/>
      <c r="D7" s="179"/>
      <c r="E7" s="180"/>
      <c r="F7" s="181"/>
      <c r="G7" s="182"/>
      <c r="H7" s="183"/>
      <c r="I7" s="180"/>
      <c r="J7" s="184"/>
      <c r="K7" s="175"/>
      <c r="L7" s="179"/>
      <c r="M7" s="180"/>
      <c r="N7" s="184"/>
    </row>
    <row r="8" spans="1:17" x14ac:dyDescent="0.2">
      <c r="A8" s="185" t="s">
        <v>10</v>
      </c>
      <c r="C8" s="187"/>
      <c r="D8" s="188">
        <f>+E8+17271408</f>
        <v>89643408</v>
      </c>
      <c r="E8" s="189">
        <f>SUM([1]rdo!E6)</f>
        <v>72372000</v>
      </c>
      <c r="F8" s="190">
        <f t="shared" ref="F8:F25" si="0">+D8-E8</f>
        <v>17271408</v>
      </c>
      <c r="G8" s="182"/>
      <c r="H8" s="191">
        <f>SUM(D8+[2]Hoja1!$I$8)</f>
        <v>397203526</v>
      </c>
      <c r="I8" s="189">
        <f>SUM(E8+[2]Hoja1!$J$8)</f>
        <v>72372000</v>
      </c>
      <c r="J8" s="192">
        <f>SUM(H8-I8)</f>
        <v>324831526</v>
      </c>
      <c r="K8" s="175"/>
      <c r="L8" s="188">
        <f>+M8+17271408</f>
        <v>549263199</v>
      </c>
      <c r="M8" s="189">
        <f>+[1]RDOACUM!X6</f>
        <v>531991791</v>
      </c>
      <c r="N8" s="190">
        <f t="shared" ref="N8:N18" si="1">SUM(L8-M8)</f>
        <v>17271408</v>
      </c>
    </row>
    <row r="9" spans="1:17" x14ac:dyDescent="0.2">
      <c r="A9" s="185" t="s">
        <v>13</v>
      </c>
      <c r="C9" s="187"/>
      <c r="D9" s="193">
        <f>14409850+14409849</f>
        <v>28819699</v>
      </c>
      <c r="E9" s="189">
        <f>SUM([1]rdo!E7)</f>
        <v>28819699</v>
      </c>
      <c r="F9" s="194">
        <f t="shared" si="0"/>
        <v>0</v>
      </c>
      <c r="G9" s="182"/>
      <c r="H9" s="195">
        <f>SUM(D9+[2]Hoja1!$I$9)</f>
        <v>238700780</v>
      </c>
      <c r="I9" s="180">
        <f>SUM(E9+[2]Hoja1!$J$9)</f>
        <v>28819699</v>
      </c>
      <c r="J9" s="196">
        <f>SUM(H9-I9)</f>
        <v>209881081</v>
      </c>
      <c r="K9" s="175"/>
      <c r="L9" s="193">
        <f>+M9</f>
        <v>317016690</v>
      </c>
      <c r="M9" s="180">
        <f>+[1]RDOACUM!X7</f>
        <v>317016690</v>
      </c>
      <c r="N9" s="194">
        <f>+L9-M9</f>
        <v>0</v>
      </c>
    </row>
    <row r="10" spans="1:17" ht="15" x14ac:dyDescent="0.25">
      <c r="A10" s="185" t="s">
        <v>15</v>
      </c>
      <c r="C10" s="187"/>
      <c r="D10" s="197">
        <f>+E10</f>
        <v>0</v>
      </c>
      <c r="E10" s="198">
        <f>SUM([1]rdo!E8)</f>
        <v>0</v>
      </c>
      <c r="F10" s="199">
        <f t="shared" si="0"/>
        <v>0</v>
      </c>
      <c r="G10" s="200"/>
      <c r="H10" s="201"/>
      <c r="I10" s="198"/>
      <c r="J10" s="202"/>
      <c r="K10" s="203"/>
      <c r="L10" s="197">
        <f>+M10</f>
        <v>0</v>
      </c>
      <c r="M10" s="198">
        <f>+[1]RDOACUM!X8</f>
        <v>0</v>
      </c>
      <c r="N10" s="194">
        <f t="shared" si="1"/>
        <v>0</v>
      </c>
    </row>
    <row r="11" spans="1:17" x14ac:dyDescent="0.2">
      <c r="B11" s="167" t="s">
        <v>16</v>
      </c>
      <c r="C11" s="187"/>
      <c r="D11" s="204">
        <f>SUM(D8:D10)</f>
        <v>118463107</v>
      </c>
      <c r="E11" s="205">
        <f>SUM(E8:E10)</f>
        <v>101191699</v>
      </c>
      <c r="F11" s="206">
        <f t="shared" si="0"/>
        <v>17271408</v>
      </c>
      <c r="G11" s="207"/>
      <c r="H11" s="208">
        <f>SUM(H8:H9)</f>
        <v>635904306</v>
      </c>
      <c r="I11" s="205">
        <f>SUM(I8:I9)</f>
        <v>101191699</v>
      </c>
      <c r="J11" s="209">
        <f>SUM(J8:J9)</f>
        <v>534712607</v>
      </c>
      <c r="K11" s="175"/>
      <c r="L11" s="204">
        <f>SUM(L8:L10)</f>
        <v>866279889</v>
      </c>
      <c r="M11" s="204">
        <f>+M8+M9+M10</f>
        <v>849008481</v>
      </c>
      <c r="N11" s="206">
        <f t="shared" si="1"/>
        <v>17271408</v>
      </c>
    </row>
    <row r="12" spans="1:17" x14ac:dyDescent="0.2">
      <c r="A12" s="185" t="s">
        <v>17</v>
      </c>
      <c r="C12" s="187"/>
      <c r="D12" s="210">
        <f>+E12</f>
        <v>1404102.95</v>
      </c>
      <c r="E12" s="189">
        <f>SUM([1]rdo!E10)</f>
        <v>1404102.95</v>
      </c>
      <c r="F12" s="190">
        <f t="shared" si="0"/>
        <v>0</v>
      </c>
      <c r="G12" s="182"/>
      <c r="H12" s="191">
        <f>SUM(D12+[2]Hoja1!$I$11)</f>
        <v>518845301.94999999</v>
      </c>
      <c r="I12" s="189">
        <f>SUM(E12+[2]Hoja1!$J$11)</f>
        <v>1404102.95</v>
      </c>
      <c r="J12" s="192">
        <f t="shared" ref="J12:J25" si="2">SUM(H12-I12)</f>
        <v>517441199</v>
      </c>
      <c r="K12" s="175"/>
      <c r="L12" s="210">
        <f>+M12</f>
        <v>29384100.68</v>
      </c>
      <c r="M12" s="189">
        <f>+[1]RDOACUM!X10</f>
        <v>29384100.68</v>
      </c>
      <c r="N12" s="190">
        <f t="shared" si="1"/>
        <v>0</v>
      </c>
    </row>
    <row r="13" spans="1:17" x14ac:dyDescent="0.2">
      <c r="A13" s="185" t="s">
        <v>18</v>
      </c>
      <c r="C13" s="187"/>
      <c r="D13" s="179">
        <f>+E13</f>
        <v>2071312.11</v>
      </c>
      <c r="E13" s="180">
        <f>SUM([1]rdo!E11)</f>
        <v>2071312.11</v>
      </c>
      <c r="F13" s="199">
        <f t="shared" si="0"/>
        <v>0</v>
      </c>
      <c r="G13" s="182"/>
      <c r="H13" s="195">
        <f>SUM(D13+[2]Hoja1!$I$12)</f>
        <v>34778056.25</v>
      </c>
      <c r="I13" s="180">
        <f>SUM(E13+[2]Hoja1!$J$12)</f>
        <v>2071469.11</v>
      </c>
      <c r="J13" s="196">
        <f t="shared" si="2"/>
        <v>32706587.140000001</v>
      </c>
      <c r="K13" s="175"/>
      <c r="L13" s="179">
        <f>+M13</f>
        <v>9043864.129999999</v>
      </c>
      <c r="M13" s="180">
        <f>+[1]RDOACUM!X11</f>
        <v>9043864.129999999</v>
      </c>
      <c r="N13" s="199">
        <f t="shared" si="1"/>
        <v>0</v>
      </c>
    </row>
    <row r="14" spans="1:17" x14ac:dyDescent="0.2">
      <c r="A14" s="185" t="s">
        <v>19</v>
      </c>
      <c r="C14" s="187"/>
      <c r="D14" s="211">
        <f>+E14</f>
        <v>0</v>
      </c>
      <c r="E14" s="212">
        <f>SUM([1]rdo!E12)</f>
        <v>0</v>
      </c>
      <c r="F14" s="199">
        <f t="shared" si="0"/>
        <v>0</v>
      </c>
      <c r="G14" s="182"/>
      <c r="H14" s="195">
        <f>SUM(D14+[2]Hoja1!$I$13)</f>
        <v>10243264.48</v>
      </c>
      <c r="I14" s="180">
        <f>SUM(E14+[2]Hoja1!$J$13)</f>
        <v>228</v>
      </c>
      <c r="J14" s="196">
        <f t="shared" si="2"/>
        <v>10243036.48</v>
      </c>
      <c r="K14" s="175"/>
      <c r="L14" s="197">
        <f>+M14</f>
        <v>0</v>
      </c>
      <c r="M14" s="198">
        <f>+[1]RDOACUM!X12</f>
        <v>0</v>
      </c>
      <c r="N14" s="199">
        <f t="shared" si="1"/>
        <v>0</v>
      </c>
    </row>
    <row r="15" spans="1:17" x14ac:dyDescent="0.2">
      <c r="A15" s="185" t="s">
        <v>20</v>
      </c>
      <c r="C15" s="187"/>
      <c r="D15" s="179">
        <f>+E15</f>
        <v>2105756.2199999997</v>
      </c>
      <c r="E15" s="180">
        <f>SUM([1]rdo!E13)</f>
        <v>2105756.2199999997</v>
      </c>
      <c r="F15" s="199">
        <f t="shared" si="0"/>
        <v>0</v>
      </c>
      <c r="G15" s="182"/>
      <c r="H15" s="195">
        <f>SUM(D15+[2]Hoja1!$I$14)</f>
        <v>54614803.849999994</v>
      </c>
      <c r="I15" s="180">
        <f>SUM(E15+[2]Hoja1!$J$14)</f>
        <v>2105817.2199999997</v>
      </c>
      <c r="J15" s="196">
        <f t="shared" si="2"/>
        <v>52508986.629999995</v>
      </c>
      <c r="K15" s="175"/>
      <c r="L15" s="179">
        <f>+M15</f>
        <v>17728475.939999998</v>
      </c>
      <c r="M15" s="180">
        <f>+[1]RDOACUM!X13</f>
        <v>17728475.939999998</v>
      </c>
      <c r="N15" s="199">
        <f t="shared" si="1"/>
        <v>0</v>
      </c>
    </row>
    <row r="16" spans="1:17" ht="15" x14ac:dyDescent="0.25">
      <c r="B16" s="167" t="s">
        <v>21</v>
      </c>
      <c r="C16" s="187"/>
      <c r="D16" s="204">
        <f>SUM(D12:D15)</f>
        <v>5581171.2799999993</v>
      </c>
      <c r="E16" s="205">
        <f>SUM(E12:E15)</f>
        <v>5581171.2799999993</v>
      </c>
      <c r="F16" s="206">
        <f t="shared" si="0"/>
        <v>0</v>
      </c>
      <c r="G16" s="207"/>
      <c r="H16" s="208">
        <f>SUM(H12:H15)</f>
        <v>618481426.53000009</v>
      </c>
      <c r="I16" s="205">
        <f>SUM(I12:I15)</f>
        <v>5581617.2799999993</v>
      </c>
      <c r="J16" s="209">
        <f>SUM(J12:J15)</f>
        <v>612899809.25</v>
      </c>
      <c r="K16" s="175"/>
      <c r="L16" s="204">
        <f>SUM(L12:L15)+1</f>
        <v>56156441.75</v>
      </c>
      <c r="M16" s="204">
        <f>+M12+M13+M14+M15+1</f>
        <v>56156441.75</v>
      </c>
      <c r="N16" s="206">
        <f t="shared" si="1"/>
        <v>0</v>
      </c>
      <c r="Q16" s="213"/>
    </row>
    <row r="17" spans="1:18" ht="15" x14ac:dyDescent="0.25">
      <c r="A17" s="185" t="s">
        <v>22</v>
      </c>
      <c r="C17" s="187"/>
      <c r="D17" s="210">
        <f>+[3]Hoja1!$BC$15</f>
        <v>6079931.239770405</v>
      </c>
      <c r="E17" s="189">
        <f>SUM([1]rdo!E15)</f>
        <v>4840794.67</v>
      </c>
      <c r="F17" s="190">
        <f t="shared" si="0"/>
        <v>1239136.5697704051</v>
      </c>
      <c r="G17" s="182"/>
      <c r="H17" s="191">
        <f>SUM(D17+[2]Hoja1!$I$16)</f>
        <v>109040432.9097704</v>
      </c>
      <c r="I17" s="189">
        <f>SUM(E17+[2]Hoja1!$J$16)</f>
        <v>4855755.67</v>
      </c>
      <c r="J17" s="192">
        <f t="shared" si="2"/>
        <v>104184677.2397704</v>
      </c>
      <c r="K17" s="175"/>
      <c r="L17" s="210">
        <f>+D17+[4]COMPRES!$L$17</f>
        <v>87194334.082562476</v>
      </c>
      <c r="M17" s="189">
        <f>+[1]RDOACUM!X15</f>
        <v>85803570.489999995</v>
      </c>
      <c r="N17" s="190">
        <f t="shared" si="1"/>
        <v>1390763.5925624818</v>
      </c>
      <c r="P17" s="214"/>
      <c r="Q17" s="213"/>
      <c r="R17" s="215"/>
    </row>
    <row r="18" spans="1:18" ht="15" x14ac:dyDescent="0.25">
      <c r="A18" s="185" t="s">
        <v>26</v>
      </c>
      <c r="C18" s="187"/>
      <c r="D18" s="216">
        <f>+[3]Hoja1!$BC$16</f>
        <v>2975939.1695856932</v>
      </c>
      <c r="E18" s="180">
        <f>SUM([1]rdo!E16)</f>
        <v>2504909.25</v>
      </c>
      <c r="F18" s="194">
        <f t="shared" si="0"/>
        <v>471029.91958569316</v>
      </c>
      <c r="G18" s="182"/>
      <c r="H18" s="183">
        <f>SUM(D18+[2]Hoja1!$I$17)</f>
        <v>47831442.319585688</v>
      </c>
      <c r="I18" s="180">
        <f>SUM(E18+[2]Hoja1!$J$17)</f>
        <v>1113166.848390311</v>
      </c>
      <c r="J18" s="196">
        <f t="shared" si="2"/>
        <v>46718275.471195377</v>
      </c>
      <c r="K18" s="175"/>
      <c r="L18" s="179">
        <f>+D18+[4]COMPRES!$L$18</f>
        <v>197221312.35315576</v>
      </c>
      <c r="M18" s="180">
        <f>+[1]RDOACUM!X16</f>
        <v>194852995.65000001</v>
      </c>
      <c r="N18" s="194">
        <f t="shared" si="1"/>
        <v>2368316.703155756</v>
      </c>
      <c r="P18" s="217"/>
      <c r="Q18" s="213"/>
      <c r="R18" s="213"/>
    </row>
    <row r="19" spans="1:18" x14ac:dyDescent="0.2">
      <c r="A19" s="185" t="s">
        <v>27</v>
      </c>
      <c r="C19" s="187"/>
      <c r="D19" s="216">
        <f>+[3]Hoja1!$BC$17</f>
        <v>4237497.2043051319</v>
      </c>
      <c r="E19" s="180">
        <f>SUM([1]rdo!E17)+[1]rdo!E18</f>
        <v>6443361.0099999998</v>
      </c>
      <c r="F19" s="194">
        <f t="shared" si="0"/>
        <v>-2205863.8056948679</v>
      </c>
      <c r="G19" s="182"/>
      <c r="H19" s="183">
        <f>SUM(D19+[2]Hoja1!$I$18)</f>
        <v>93999948.954305127</v>
      </c>
      <c r="I19" s="180">
        <f>SUM(E19+[2]Hoja1!$J$18)</f>
        <v>6299849.3512165938</v>
      </c>
      <c r="J19" s="196">
        <f t="shared" si="2"/>
        <v>87700099.603088528</v>
      </c>
      <c r="K19" s="175"/>
      <c r="L19" s="179">
        <f>+D19+[4]COMPRES!$L$19</f>
        <v>68585941.492931411</v>
      </c>
      <c r="M19" s="180">
        <f>+[1]RDOACUM!X17+[1]RDOACUM!X18</f>
        <v>77088191.920000002</v>
      </c>
      <c r="N19" s="194">
        <f t="shared" ref="N19:N25" si="3">SUM(L19-M19)</f>
        <v>-8502250.4270685911</v>
      </c>
    </row>
    <row r="20" spans="1:18" x14ac:dyDescent="0.2">
      <c r="A20" s="185" t="s">
        <v>31</v>
      </c>
      <c r="C20" s="187"/>
      <c r="D20" s="216">
        <f>+[3]Hoja1!$BC$18</f>
        <v>822368.59943773807</v>
      </c>
      <c r="E20" s="180">
        <f>SUM([1]rdo!E19)</f>
        <v>1028962</v>
      </c>
      <c r="F20" s="194">
        <f t="shared" si="0"/>
        <v>-206593.40056226193</v>
      </c>
      <c r="G20" s="182"/>
      <c r="H20" s="183">
        <f>SUM(D20+[2]Hoja1!$I$20)</f>
        <v>7278457.5994377378</v>
      </c>
      <c r="I20" s="180">
        <f>SUM(E20+[2]Hoja1!$J$20)</f>
        <v>204089.35597033333</v>
      </c>
      <c r="J20" s="196">
        <f t="shared" si="2"/>
        <v>7074368.2434674045</v>
      </c>
      <c r="K20" s="175"/>
      <c r="L20" s="179">
        <f>+D20+[4]COMPRES!$L$20</f>
        <v>9735956.6667565033</v>
      </c>
      <c r="M20" s="180">
        <f>+[1]RDOACUM!X19</f>
        <v>6334926</v>
      </c>
      <c r="N20" s="194">
        <f t="shared" si="3"/>
        <v>3401030.6667565033</v>
      </c>
      <c r="O20" s="217"/>
    </row>
    <row r="21" spans="1:18" x14ac:dyDescent="0.2">
      <c r="A21" s="185" t="s">
        <v>34</v>
      </c>
      <c r="C21" s="187"/>
      <c r="D21" s="216">
        <f>+[3]Hoja1!$BC$19</f>
        <v>164160.68507001724</v>
      </c>
      <c r="E21" s="180">
        <f>SUM([1]rdo!E20)</f>
        <v>357906.85</v>
      </c>
      <c r="F21" s="194">
        <f t="shared" si="0"/>
        <v>-193746.16492998274</v>
      </c>
      <c r="G21" s="182"/>
      <c r="H21" s="183">
        <f>SUM(D21+[2]Hoja1!$I$21)</f>
        <v>3230651.1850700174</v>
      </c>
      <c r="I21" s="180">
        <f>SUM(E21+[2]Hoja1!$J$21)</f>
        <v>-479258.18425335467</v>
      </c>
      <c r="J21" s="196">
        <f t="shared" si="2"/>
        <v>3709909.3693233719</v>
      </c>
      <c r="K21" s="175"/>
      <c r="L21" s="179">
        <f>+D21+[4]COMPRES!$L$21</f>
        <v>3199176.7241544477</v>
      </c>
      <c r="M21" s="180">
        <f>+[1]RDOACUM!X20</f>
        <v>2421897.2600000002</v>
      </c>
      <c r="N21" s="194">
        <f t="shared" si="3"/>
        <v>777279.46415444743</v>
      </c>
    </row>
    <row r="22" spans="1:18" x14ac:dyDescent="0.2">
      <c r="A22" s="185" t="s">
        <v>35</v>
      </c>
      <c r="C22" s="187"/>
      <c r="D22" s="216">
        <f>+[3]Hoja1!$BC$20</f>
        <v>3340291.3721816116</v>
      </c>
      <c r="E22" s="180">
        <f>SUM([1]rdo!E21)</f>
        <v>598585.46</v>
      </c>
      <c r="F22" s="194">
        <f t="shared" si="0"/>
        <v>2741705.9121816116</v>
      </c>
      <c r="G22" s="182"/>
      <c r="H22" s="183">
        <f>SUM(D22+[2]Hoja1!$I$22)</f>
        <v>17304238.352181613</v>
      </c>
      <c r="I22" s="180">
        <f>SUM(E22+[2]Hoja1!$J$22)</f>
        <v>6075175.5617196476</v>
      </c>
      <c r="J22" s="196">
        <f t="shared" si="2"/>
        <v>11229062.790461965</v>
      </c>
      <c r="K22" s="175"/>
      <c r="L22" s="179">
        <f>+D22+[4]COMPRES!$L$22</f>
        <v>26105568.152194139</v>
      </c>
      <c r="M22" s="180">
        <f>+[1]RDOACUM!X21</f>
        <v>24811243.530000001</v>
      </c>
      <c r="N22" s="194">
        <f t="shared" si="3"/>
        <v>1294324.6221941374</v>
      </c>
    </row>
    <row r="23" spans="1:18" x14ac:dyDescent="0.2">
      <c r="A23" s="185" t="s">
        <v>38</v>
      </c>
      <c r="C23" s="187"/>
      <c r="D23" s="216">
        <f>+[3]Hoja1!$BC$21</f>
        <v>278331.60419456242</v>
      </c>
      <c r="E23" s="180">
        <f>SUM([1]rdo!E22)</f>
        <v>338999.18</v>
      </c>
      <c r="F23" s="194">
        <f t="shared" si="0"/>
        <v>-60667.575805437576</v>
      </c>
      <c r="G23" s="182"/>
      <c r="H23" s="183">
        <f>SUM(D23+[2]Hoja1!$I$23)</f>
        <v>1506262.3741945624</v>
      </c>
      <c r="I23" s="180">
        <f>SUM(E23+[2]Hoja1!$J$23)</f>
        <v>1523116.4599068642</v>
      </c>
      <c r="J23" s="196">
        <f t="shared" si="2"/>
        <v>-16854.085712301778</v>
      </c>
      <c r="K23" s="175"/>
      <c r="L23" s="179">
        <f>+D23+[4]COMPRES!$L$23</f>
        <v>4095671.6332598254</v>
      </c>
      <c r="M23" s="180">
        <f>+[1]RDOACUM!X22</f>
        <v>3292880</v>
      </c>
      <c r="N23" s="194">
        <f t="shared" si="3"/>
        <v>802791.63325982541</v>
      </c>
    </row>
    <row r="24" spans="1:18" x14ac:dyDescent="0.2">
      <c r="A24" s="185" t="s">
        <v>39</v>
      </c>
      <c r="C24" s="187"/>
      <c r="D24" s="216">
        <f>+[3]Hoja1!$BC$22</f>
        <v>764374.46587642678</v>
      </c>
      <c r="E24" s="180">
        <f>SUM([1]rdo!E23)</f>
        <v>288529.18</v>
      </c>
      <c r="F24" s="194">
        <f t="shared" si="0"/>
        <v>475845.28587642679</v>
      </c>
      <c r="G24" s="182"/>
      <c r="H24" s="183">
        <f>SUM(D24+[2]Hoja1!$I$24)</f>
        <v>5357350.2558764266</v>
      </c>
      <c r="I24" s="180">
        <f>SUM(E24+[2]Hoja1!$J$24)</f>
        <v>-937387.98069674685</v>
      </c>
      <c r="J24" s="196">
        <f t="shared" si="2"/>
        <v>6294738.2365731737</v>
      </c>
      <c r="K24" s="175"/>
      <c r="L24" s="179">
        <f>+D24+[4]COMPRES!$L$24</f>
        <v>5622464.7257661279</v>
      </c>
      <c r="M24" s="180">
        <f>+[1]RDOACUM!X23</f>
        <v>5236803.0200000005</v>
      </c>
      <c r="N24" s="194">
        <f t="shared" si="3"/>
        <v>385661.70576612744</v>
      </c>
    </row>
    <row r="25" spans="1:18" x14ac:dyDescent="0.2">
      <c r="A25" s="185" t="s">
        <v>40</v>
      </c>
      <c r="C25" s="187"/>
      <c r="D25" s="216">
        <f>+[3]Hoja1!$BC$23</f>
        <v>5910861.0321130296</v>
      </c>
      <c r="E25" s="180">
        <f>SUM([1]rdo!E24)</f>
        <v>5945048.2999999998</v>
      </c>
      <c r="F25" s="194">
        <f t="shared" si="0"/>
        <v>-34187.267886970192</v>
      </c>
      <c r="G25" s="182"/>
      <c r="H25" s="218">
        <f>SUM(D25+[2]Hoja1!$I$25)</f>
        <v>26356038.042113032</v>
      </c>
      <c r="I25" s="180">
        <f>SUM(E25+[2]Hoja1!$J$25)</f>
        <v>-7286630.3711730847</v>
      </c>
      <c r="J25" s="196">
        <f t="shared" si="2"/>
        <v>33642668.41328612</v>
      </c>
      <c r="K25" s="175"/>
      <c r="L25" s="179">
        <f>+D25+[4]COMPRES!$L$25</f>
        <v>30876099.579349525</v>
      </c>
      <c r="M25" s="180">
        <f>+[1]RDOACUM!X24</f>
        <v>33616071.700000003</v>
      </c>
      <c r="N25" s="194">
        <f t="shared" si="3"/>
        <v>-2739972.1206504777</v>
      </c>
    </row>
    <row r="26" spans="1:18" x14ac:dyDescent="0.2">
      <c r="B26" s="167" t="s">
        <v>44</v>
      </c>
      <c r="C26" s="187"/>
      <c r="D26" s="204">
        <f>SUM(D17:D25)</f>
        <v>24573755.372534618</v>
      </c>
      <c r="E26" s="205">
        <f>SUM(E17:E25)</f>
        <v>22347095.899999999</v>
      </c>
      <c r="F26" s="206">
        <f>+D26-E26</f>
        <v>2226659.4725346193</v>
      </c>
      <c r="G26" s="207"/>
      <c r="H26" s="208">
        <f>SUM(H17:H25)</f>
        <v>311904821.99253458</v>
      </c>
      <c r="I26" s="205">
        <f>SUM(I17:I25)</f>
        <v>11367876.711080566</v>
      </c>
      <c r="J26" s="209">
        <f>SUM(J17:J25)</f>
        <v>300536945.28145397</v>
      </c>
      <c r="K26" s="175"/>
      <c r="L26" s="204">
        <f>SUM(L17:L25)</f>
        <v>432636525.41013026</v>
      </c>
      <c r="M26" s="205">
        <f>SUM(M17:M25)</f>
        <v>433458579.56999999</v>
      </c>
      <c r="N26" s="219">
        <f>SUM(L26-M26)</f>
        <v>-822054.15986973047</v>
      </c>
    </row>
    <row r="27" spans="1:18" x14ac:dyDescent="0.2">
      <c r="C27" s="168" t="s">
        <v>45</v>
      </c>
      <c r="D27" s="220">
        <f>SUM(D26,D16,D11)</f>
        <v>148618033.6525346</v>
      </c>
      <c r="E27" s="221">
        <f>SUM(E26,E16,E11)</f>
        <v>129119966.18000001</v>
      </c>
      <c r="F27" s="222">
        <f>+D27-E27</f>
        <v>19498067.472534597</v>
      </c>
      <c r="G27" s="223"/>
      <c r="H27" s="224">
        <f>SUM(H26+H16+H11)</f>
        <v>1566290554.5225346</v>
      </c>
      <c r="I27" s="224">
        <f>SUM(I26,I16,I11)</f>
        <v>118141192.99108057</v>
      </c>
      <c r="J27" s="225">
        <f>SUM(J11+J16+J26)</f>
        <v>1448149361.5314541</v>
      </c>
      <c r="K27" s="175"/>
      <c r="L27" s="220">
        <f>SUM(L26,L16,L11)</f>
        <v>1355072856.1601303</v>
      </c>
      <c r="M27" s="221">
        <f>SUM(M26,M16,M11)</f>
        <v>1338623502.3199999</v>
      </c>
      <c r="N27" s="222">
        <f>SUM(L27-M27)</f>
        <v>16449353.840130329</v>
      </c>
    </row>
    <row r="28" spans="1:18" x14ac:dyDescent="0.2">
      <c r="C28" s="168"/>
      <c r="D28" s="226"/>
      <c r="E28" s="227"/>
      <c r="F28" s="228"/>
      <c r="G28" s="223"/>
      <c r="H28" s="224"/>
      <c r="I28" s="229"/>
      <c r="J28" s="222">
        <v>0</v>
      </c>
      <c r="K28" s="175"/>
      <c r="L28" s="226"/>
      <c r="M28" s="227"/>
      <c r="N28" s="228"/>
    </row>
    <row r="29" spans="1:18" x14ac:dyDescent="0.2">
      <c r="B29" s="186" t="s">
        <v>46</v>
      </c>
      <c r="C29" s="168"/>
      <c r="D29" s="230">
        <f>+[3]Hoja1!$BC$28</f>
        <v>1631030.7499109756</v>
      </c>
      <c r="E29" s="231">
        <f>SUM([1]rdo!E29)</f>
        <v>2040976.35</v>
      </c>
      <c r="F29" s="232">
        <f>+D29-E29</f>
        <v>-409945.60008902452</v>
      </c>
      <c r="G29" s="223"/>
      <c r="H29" s="195">
        <f>SUM(D29+[2]Hoja1!$I$29)</f>
        <v>22244882.879910976</v>
      </c>
      <c r="I29" s="180">
        <f>SUM(E29+[2]Hoja1!$J$29)</f>
        <v>678776.81798945228</v>
      </c>
      <c r="J29" s="233">
        <f>SUM(H29-I29)</f>
        <v>21566106.061921522</v>
      </c>
      <c r="K29" s="175"/>
      <c r="L29" s="234">
        <f>+D29+[4]COMPRES!$L$29</f>
        <v>55688883.954458758</v>
      </c>
      <c r="M29" s="231">
        <f>+[1]RDOACUM!X29</f>
        <v>55840727.950000003</v>
      </c>
      <c r="N29" s="232">
        <f>SUM(L29-M29)</f>
        <v>-151843.99554124475</v>
      </c>
    </row>
    <row r="30" spans="1:18" x14ac:dyDescent="0.2">
      <c r="C30" s="168" t="s">
        <v>47</v>
      </c>
      <c r="D30" s="220">
        <f>SUM(D27-D29)</f>
        <v>146987002.90262362</v>
      </c>
      <c r="E30" s="221">
        <f>SUM(E27-E29)</f>
        <v>127078989.83000001</v>
      </c>
      <c r="F30" s="222">
        <f>SUM(F27-F29)</f>
        <v>19908013.072623622</v>
      </c>
      <c r="G30" s="223"/>
      <c r="H30" s="224">
        <f>SUM(H27-H29)</f>
        <v>1544045671.6426237</v>
      </c>
      <c r="I30" s="224">
        <f>SUM(I27-I29)</f>
        <v>117462416.17309111</v>
      </c>
      <c r="J30" s="225">
        <f>SUM(J27-J29)</f>
        <v>1426583255.4695325</v>
      </c>
      <c r="K30" s="175"/>
      <c r="L30" s="220">
        <f>SUM(L27-L29)</f>
        <v>1299383972.2056715</v>
      </c>
      <c r="M30" s="221">
        <f>SUM(M27-M29)</f>
        <v>1282782774.3699999</v>
      </c>
      <c r="N30" s="222">
        <f>+L30-M30</f>
        <v>16601197.835671663</v>
      </c>
    </row>
    <row r="31" spans="1:18" x14ac:dyDescent="0.2">
      <c r="A31" s="235" t="s">
        <v>48</v>
      </c>
      <c r="C31" s="187"/>
      <c r="D31" s="179"/>
      <c r="E31" s="236"/>
      <c r="F31" s="181"/>
      <c r="G31" s="182"/>
      <c r="H31" s="183"/>
      <c r="I31" s="180"/>
      <c r="J31" s="184"/>
      <c r="K31" s="175"/>
      <c r="L31" s="179"/>
      <c r="M31" s="180"/>
      <c r="N31" s="184"/>
    </row>
    <row r="32" spans="1:18" x14ac:dyDescent="0.2">
      <c r="A32" s="176" t="s">
        <v>49</v>
      </c>
      <c r="B32" s="237"/>
      <c r="C32" s="238"/>
      <c r="D32" s="179"/>
      <c r="E32" s="180"/>
      <c r="F32" s="181"/>
      <c r="G32" s="182"/>
      <c r="H32" s="183"/>
      <c r="I32" s="180"/>
      <c r="J32" s="184"/>
      <c r="K32" s="175"/>
      <c r="L32" s="179"/>
      <c r="M32" s="180"/>
      <c r="N32" s="184"/>
    </row>
    <row r="33" spans="1:16" x14ac:dyDescent="0.2">
      <c r="A33" s="185" t="s">
        <v>50</v>
      </c>
      <c r="C33" s="187"/>
      <c r="D33" s="239">
        <f>+[3]Hoja1!$BC$34</f>
        <v>71809800.576960206</v>
      </c>
      <c r="E33" s="240">
        <f>SUM([1]rdo!E34)</f>
        <v>84887866.739999995</v>
      </c>
      <c r="F33" s="241">
        <f t="shared" ref="F33:F75" si="4">SUM(D33-E33)</f>
        <v>-13078066.163039789</v>
      </c>
      <c r="G33" s="182"/>
      <c r="H33" s="242">
        <f>SUM(D33+[2]Hoja1!$I$33)</f>
        <v>582711939.38696027</v>
      </c>
      <c r="I33" s="240">
        <f>SUM(E33+[2]Hoja1!$J$33)</f>
        <v>72471675.160272583</v>
      </c>
      <c r="J33" s="243">
        <f t="shared" ref="J33:J75" si="5">SUM(H33-I33)</f>
        <v>510240264.22668767</v>
      </c>
      <c r="K33" s="175"/>
      <c r="L33" s="210">
        <f>+D33+[4]COMPRES!$L$33+39106872.77</f>
        <v>788936060.70474637</v>
      </c>
      <c r="M33" s="189">
        <f>+[1]RDOACUM!X33</f>
        <v>793695278.43999994</v>
      </c>
      <c r="N33" s="243">
        <f t="shared" ref="N33:N46" si="6">SUM(L33-M33)</f>
        <v>-4759217.7352535725</v>
      </c>
      <c r="P33" s="217">
        <v>912586334</v>
      </c>
    </row>
    <row r="34" spans="1:16" ht="15" x14ac:dyDescent="0.25">
      <c r="A34" s="185" t="s">
        <v>53</v>
      </c>
      <c r="C34" s="187"/>
      <c r="D34" s="244">
        <f>+[3]Hoja1!$BC$35</f>
        <v>9676687.4214075692</v>
      </c>
      <c r="E34" s="180">
        <f>SUM([1]rdo!E35)</f>
        <v>15906768.25</v>
      </c>
      <c r="F34" s="194">
        <f t="shared" si="4"/>
        <v>-6230080.8285924308</v>
      </c>
      <c r="G34" s="182"/>
      <c r="H34" s="183">
        <f>SUM(D34+[2]Hoja1!$I$34)</f>
        <v>83526277.171407565</v>
      </c>
      <c r="I34" s="180">
        <f>SUM(E34+[2]Hoja1!$J$34)</f>
        <v>6381438.8494021446</v>
      </c>
      <c r="J34" s="196">
        <f t="shared" si="5"/>
        <v>77144838.322005421</v>
      </c>
      <c r="K34" s="175"/>
      <c r="L34" s="179">
        <f>+D34+[4]COMPRES!$L$34</f>
        <v>114411603.87112023</v>
      </c>
      <c r="M34" s="180">
        <f>+[1]IYE!Y35</f>
        <v>126110249.85999998</v>
      </c>
      <c r="N34" s="196">
        <f t="shared" si="6"/>
        <v>-11698645.988879755</v>
      </c>
      <c r="P34" s="213">
        <f>+P33/12</f>
        <v>76048861.166666672</v>
      </c>
    </row>
    <row r="35" spans="1:16" ht="15" x14ac:dyDescent="0.25">
      <c r="A35" s="185" t="s">
        <v>57</v>
      </c>
      <c r="C35" s="187"/>
      <c r="D35" s="244">
        <f>+[3]Hoja1!$BC$36</f>
        <v>4549501.9361230433</v>
      </c>
      <c r="E35" s="180">
        <f>SUM([1]rdo!E36)</f>
        <v>5632409.3399999999</v>
      </c>
      <c r="F35" s="194">
        <f t="shared" si="4"/>
        <v>-1082907.4038769566</v>
      </c>
      <c r="G35" s="182"/>
      <c r="H35" s="183">
        <f>SUM(D35+[2]Hoja1!$I$35)</f>
        <v>36398769.136123046</v>
      </c>
      <c r="I35" s="180">
        <f>SUM(E35+[2]Hoja1!$J$35)</f>
        <v>1808151.9272483662</v>
      </c>
      <c r="J35" s="196">
        <f t="shared" si="5"/>
        <v>34590617.20887468</v>
      </c>
      <c r="K35" s="175"/>
      <c r="L35" s="179">
        <f>+D35+[4]COMPRES!$L$35</f>
        <v>55015482.376796946</v>
      </c>
      <c r="M35" s="180">
        <f>+[1]RDOACUM!X35</f>
        <v>58922778.339999996</v>
      </c>
      <c r="N35" s="196">
        <f t="shared" si="6"/>
        <v>-3907295.9632030502</v>
      </c>
      <c r="P35" s="213">
        <f>+P34*10</f>
        <v>760488611.66666675</v>
      </c>
    </row>
    <row r="36" spans="1:16" x14ac:dyDescent="0.2">
      <c r="A36" s="185" t="s">
        <v>60</v>
      </c>
      <c r="C36" s="187"/>
      <c r="D36" s="244">
        <f>+[3]Hoja1!$BC$37</f>
        <v>5736671.5105767576</v>
      </c>
      <c r="E36" s="180">
        <f>SUM([1]rdo!E37)</f>
        <v>3877902.06</v>
      </c>
      <c r="F36" s="194">
        <f t="shared" si="4"/>
        <v>1858769.4505767575</v>
      </c>
      <c r="G36" s="182"/>
      <c r="H36" s="183">
        <f>SUM(D36+[2]Hoja1!$I$36)</f>
        <v>28641423.150576759</v>
      </c>
      <c r="I36" s="180">
        <f>SUM(E36+[2]Hoja1!$J$36)</f>
        <v>8487.4787261127494</v>
      </c>
      <c r="J36" s="196">
        <f t="shared" si="5"/>
        <v>28632935.671850648</v>
      </c>
      <c r="K36" s="175"/>
      <c r="L36" s="179">
        <f>+D36+[4]COMPRES!$L$36</f>
        <v>48551055.696537338</v>
      </c>
      <c r="M36" s="180">
        <f>+[1]RDOACUM!X36</f>
        <v>41639276.509999998</v>
      </c>
      <c r="N36" s="196">
        <f t="shared" si="6"/>
        <v>6911779.1865373403</v>
      </c>
    </row>
    <row r="37" spans="1:16" x14ac:dyDescent="0.2">
      <c r="A37" s="185" t="s">
        <v>63</v>
      </c>
      <c r="C37" s="187"/>
      <c r="D37" s="244">
        <f>+[3]Hoja1!$BC$38</f>
        <v>2865098.0274635707</v>
      </c>
      <c r="E37" s="180">
        <f>SUM([1]rdo!E38)</f>
        <v>4501734.8499999996</v>
      </c>
      <c r="F37" s="194">
        <f t="shared" si="4"/>
        <v>-1636636.8225364289</v>
      </c>
      <c r="G37" s="182"/>
      <c r="H37" s="218">
        <f>SUM(D37+[2]Hoja1!$I$37)</f>
        <v>15926827.03746357</v>
      </c>
      <c r="I37" s="180">
        <f>SUM(E37+[2]Hoja1!$J$37)</f>
        <v>958590.53972649761</v>
      </c>
      <c r="J37" s="196">
        <f t="shared" si="5"/>
        <v>14968236.497737072</v>
      </c>
      <c r="K37" s="175"/>
      <c r="L37" s="179">
        <f>+D37+[4]COMPRES!$L$37</f>
        <v>32519565.491028927</v>
      </c>
      <c r="M37" s="180">
        <f>+[1]RDOACUM!X37</f>
        <v>32531314.970000003</v>
      </c>
      <c r="N37" s="194">
        <f t="shared" si="6"/>
        <v>-11749.478971075267</v>
      </c>
    </row>
    <row r="38" spans="1:16" x14ac:dyDescent="0.2">
      <c r="A38" s="185" t="s">
        <v>66</v>
      </c>
      <c r="B38" s="245"/>
      <c r="C38" s="245"/>
      <c r="D38" s="246">
        <v>0</v>
      </c>
      <c r="E38" s="247">
        <v>0</v>
      </c>
      <c r="F38" s="248">
        <f t="shared" si="4"/>
        <v>0</v>
      </c>
      <c r="G38" s="249">
        <f>SUM(E38)</f>
        <v>0</v>
      </c>
      <c r="H38" s="250" t="e">
        <f>SUM(G38/G61)*100</f>
        <v>#DIV/0!</v>
      </c>
      <c r="I38" s="148"/>
      <c r="J38" s="148"/>
      <c r="L38" s="246">
        <v>0</v>
      </c>
      <c r="M38" s="247">
        <v>0</v>
      </c>
      <c r="N38" s="194">
        <f t="shared" si="6"/>
        <v>0</v>
      </c>
    </row>
    <row r="39" spans="1:16" x14ac:dyDescent="0.2">
      <c r="B39" s="167" t="s">
        <v>67</v>
      </c>
      <c r="C39" s="187"/>
      <c r="D39" s="204">
        <f>SUM(D33:D38)</f>
        <v>94637759.47253114</v>
      </c>
      <c r="E39" s="205">
        <f>SUM(E33:E38)</f>
        <v>114806681.23999999</v>
      </c>
      <c r="F39" s="206">
        <f t="shared" si="4"/>
        <v>-20168921.767468855</v>
      </c>
      <c r="G39" s="207"/>
      <c r="H39" s="208">
        <f>SUM(H33:H37)</f>
        <v>747205235.88253117</v>
      </c>
      <c r="I39" s="205">
        <f>SUM(I33:I37)</f>
        <v>81628343.955375701</v>
      </c>
      <c r="J39" s="209">
        <f t="shared" si="5"/>
        <v>665576891.92715549</v>
      </c>
      <c r="K39" s="175"/>
      <c r="L39" s="204">
        <f>SUM(L33:L38)</f>
        <v>1039433768.1402298</v>
      </c>
      <c r="M39" s="205">
        <f>SUM(M33:M38)</f>
        <v>1052898898.12</v>
      </c>
      <c r="N39" s="209">
        <f t="shared" si="6"/>
        <v>-13465129.979770184</v>
      </c>
    </row>
    <row r="40" spans="1:16" x14ac:dyDescent="0.2">
      <c r="A40" s="185" t="s">
        <v>68</v>
      </c>
      <c r="C40" s="187"/>
      <c r="D40" s="239">
        <f>+[3]Hoja1!$BC$40</f>
        <v>134189.29112400539</v>
      </c>
      <c r="E40" s="251">
        <f>SUM([1]rdo!E40)</f>
        <v>167100.47</v>
      </c>
      <c r="F40" s="241">
        <f t="shared" si="4"/>
        <v>-32911.178875994607</v>
      </c>
      <c r="G40" s="252"/>
      <c r="H40" s="242">
        <f>SUM(D40+[2]Hoja1!$I$39)</f>
        <v>652701665.70112395</v>
      </c>
      <c r="I40" s="240">
        <f>SUM(E40+[2]Hoja1!$J$39)</f>
        <v>-33011236.814624339</v>
      </c>
      <c r="J40" s="243">
        <f t="shared" si="5"/>
        <v>685712902.51574826</v>
      </c>
      <c r="K40" s="175"/>
      <c r="L40" s="210">
        <f>+D40+[4]COMPRES!$L$40</f>
        <v>1302831.7190800116</v>
      </c>
      <c r="M40" s="189">
        <f>+[1]RDOACUM!X39</f>
        <v>1129497.25</v>
      </c>
      <c r="N40" s="243">
        <f t="shared" si="6"/>
        <v>173334.46908001159</v>
      </c>
    </row>
    <row r="41" spans="1:16" x14ac:dyDescent="0.2">
      <c r="A41" s="185" t="s">
        <v>69</v>
      </c>
      <c r="C41" s="187"/>
      <c r="D41" s="179">
        <f>+[3]Hoja1!$BC$41</f>
        <v>51438.284987655708</v>
      </c>
      <c r="E41" s="180">
        <f>SUM([1]rdo!E41)</f>
        <v>99827.57</v>
      </c>
      <c r="F41" s="194">
        <f t="shared" si="4"/>
        <v>-48389.285012344299</v>
      </c>
      <c r="G41" s="182"/>
      <c r="H41" s="183">
        <f>SUM(D41+[2]Hoja1!$I$40)</f>
        <v>787173.45498765574</v>
      </c>
      <c r="I41" s="180">
        <f>SUM(E41+[2]Hoja1!$J$40)</f>
        <v>385072.12788228533</v>
      </c>
      <c r="J41" s="253">
        <f t="shared" si="5"/>
        <v>402101.32710537041</v>
      </c>
      <c r="K41" s="175"/>
      <c r="L41" s="179">
        <f>+D41+[4]COMPRES!$L$41</f>
        <v>563831.26915052428</v>
      </c>
      <c r="M41" s="180">
        <f>+[1]RDOACUM!X40</f>
        <v>1264725.77</v>
      </c>
      <c r="N41" s="196">
        <f t="shared" si="6"/>
        <v>-700894.50084947573</v>
      </c>
    </row>
    <row r="42" spans="1:16" x14ac:dyDescent="0.2">
      <c r="A42" s="185" t="s">
        <v>70</v>
      </c>
      <c r="C42" s="187"/>
      <c r="D42" s="179">
        <f>+[3]Hoja1!$BC$42</f>
        <v>197369.18522353831</v>
      </c>
      <c r="E42" s="180">
        <f>SUM([1]rdo!E42)</f>
        <v>309582</v>
      </c>
      <c r="F42" s="194">
        <f t="shared" si="4"/>
        <v>-112212.81477646169</v>
      </c>
      <c r="G42" s="182"/>
      <c r="H42" s="183">
        <f>SUM(D42+[2]Hoja1!$I$41)</f>
        <v>237865.08522353831</v>
      </c>
      <c r="I42" s="180">
        <f>SUM(E42+[2]Hoja1!$J$41)</f>
        <v>330687.86214633734</v>
      </c>
      <c r="J42" s="253">
        <f t="shared" si="5"/>
        <v>-92822.776922799036</v>
      </c>
      <c r="K42" s="175"/>
      <c r="L42" s="179">
        <f>+D42+[4]COMPRES!$L$42</f>
        <v>2866242.6137771946</v>
      </c>
      <c r="M42" s="180">
        <f>+[1]RDOACUM!X41</f>
        <v>3308960.6100000003</v>
      </c>
      <c r="N42" s="196">
        <f t="shared" si="6"/>
        <v>-442717.9962228057</v>
      </c>
    </row>
    <row r="43" spans="1:16" x14ac:dyDescent="0.2">
      <c r="A43" s="185" t="s">
        <v>71</v>
      </c>
      <c r="C43" s="187"/>
      <c r="D43" s="179">
        <f>+[3]Hoja1!$BC$43</f>
        <v>63044.19556593473</v>
      </c>
      <c r="E43" s="180">
        <f>SUM([1]rdo!E43)</f>
        <v>41840.910000000003</v>
      </c>
      <c r="F43" s="194">
        <f t="shared" si="4"/>
        <v>21203.285565934726</v>
      </c>
      <c r="G43" s="182"/>
      <c r="H43" s="183">
        <f>SUM(D43+[2]Hoja1!$I$42)</f>
        <v>1670404.3955659347</v>
      </c>
      <c r="I43" s="180">
        <f>SUM(E43+[2]Hoja1!$J$42)</f>
        <v>562324.456017797</v>
      </c>
      <c r="J43" s="253">
        <f t="shared" si="5"/>
        <v>1108079.9395481376</v>
      </c>
      <c r="K43" s="175"/>
      <c r="L43" s="179">
        <f>+D43+[4]COMPRES!$L$43</f>
        <v>254568.3415487865</v>
      </c>
      <c r="M43" s="180">
        <f>+[1]RDOACUM!X42</f>
        <v>392017.4</v>
      </c>
      <c r="N43" s="196">
        <f t="shared" si="6"/>
        <v>-137449.05845121352</v>
      </c>
    </row>
    <row r="44" spans="1:16" x14ac:dyDescent="0.2">
      <c r="A44" s="185" t="s">
        <v>72</v>
      </c>
      <c r="C44" s="187"/>
      <c r="D44" s="179">
        <f>+[3]Hoja1!$BC$44</f>
        <v>76111.303032556069</v>
      </c>
      <c r="E44" s="180">
        <f>SUM([1]rdo!E44)</f>
        <v>18103.849999999999</v>
      </c>
      <c r="F44" s="194">
        <f t="shared" si="4"/>
        <v>58007.45303255607</v>
      </c>
      <c r="G44" s="182"/>
      <c r="H44" s="183">
        <f>SUM(D44+[2]Hoja1!$I$43)</f>
        <v>287793.60303255607</v>
      </c>
      <c r="I44" s="180">
        <f>SUM(E44+[2]Hoja1!$J$43)</f>
        <v>112001.5808828297</v>
      </c>
      <c r="J44" s="253">
        <f t="shared" si="5"/>
        <v>175792.02214972637</v>
      </c>
      <c r="K44" s="175"/>
      <c r="L44" s="179">
        <f>+D44+[4]COMPRES!$L$44</f>
        <v>530450.71259469877</v>
      </c>
      <c r="M44" s="180">
        <f>+[1]RDOACUM!X43</f>
        <v>466465.55999999994</v>
      </c>
      <c r="N44" s="196">
        <f t="shared" si="6"/>
        <v>63985.152594698826</v>
      </c>
    </row>
    <row r="45" spans="1:16" ht="15" x14ac:dyDescent="0.25">
      <c r="A45" s="185" t="s">
        <v>73</v>
      </c>
      <c r="C45" s="187"/>
      <c r="D45" s="211">
        <f>+[3]Hoja1!$BC$45</f>
        <v>0</v>
      </c>
      <c r="E45" s="212">
        <f>+[1]rdo!E45</f>
        <v>0</v>
      </c>
      <c r="F45" s="194">
        <f t="shared" si="4"/>
        <v>0</v>
      </c>
      <c r="G45" s="252"/>
      <c r="H45" s="195">
        <f>SUM(D45+[2]Hoja1!$I$44)</f>
        <v>290385.82999999996</v>
      </c>
      <c r="I45" s="212">
        <f>SUM(E45+[2]Hoja1!$J$44)</f>
        <v>169352.92368459678</v>
      </c>
      <c r="J45" s="196">
        <f t="shared" si="5"/>
        <v>121032.90631540318</v>
      </c>
      <c r="K45" s="254"/>
      <c r="L45" s="211">
        <v>0</v>
      </c>
      <c r="M45" s="212">
        <f>+[1]RDOACUM!X44</f>
        <v>0</v>
      </c>
      <c r="N45" s="196">
        <f t="shared" si="6"/>
        <v>0</v>
      </c>
    </row>
    <row r="46" spans="1:16" x14ac:dyDescent="0.2">
      <c r="A46" s="185" t="s">
        <v>74</v>
      </c>
      <c r="C46" s="187"/>
      <c r="D46" s="179">
        <f>+[3]Hoja1!$BC$46</f>
        <v>1372.3648448897538</v>
      </c>
      <c r="E46" s="180">
        <f>SUM([1]rdo!E46)</f>
        <v>4375.2</v>
      </c>
      <c r="F46" s="194">
        <f t="shared" si="4"/>
        <v>-3002.835155110246</v>
      </c>
      <c r="G46" s="182"/>
      <c r="H46" s="183">
        <f>SUM(D46+[2]Hoja1!$I$45)</f>
        <v>1372.3648448897538</v>
      </c>
      <c r="I46" s="180">
        <f>SUM(E46+[2]Hoja1!$J$45)</f>
        <v>4375.2</v>
      </c>
      <c r="J46" s="253">
        <f t="shared" si="5"/>
        <v>-3002.835155110246</v>
      </c>
      <c r="K46" s="175"/>
      <c r="L46" s="179">
        <f>+D46+[4]COMPRES!$L$46</f>
        <v>130146.89386682888</v>
      </c>
      <c r="M46" s="180">
        <f>+[1]RDOACUM!X45</f>
        <v>202166.41</v>
      </c>
      <c r="N46" s="196">
        <f t="shared" si="6"/>
        <v>-72019.516133171128</v>
      </c>
    </row>
    <row r="47" spans="1:16" x14ac:dyDescent="0.2">
      <c r="A47" s="185" t="s">
        <v>75</v>
      </c>
      <c r="C47" s="187"/>
      <c r="D47" s="179">
        <f>+[3]Hoja1!$BC$47</f>
        <v>2677.4289587981384</v>
      </c>
      <c r="E47" s="255">
        <f>SUM([1]rdo!E47)</f>
        <v>11378.77</v>
      </c>
      <c r="F47" s="194">
        <f>SUM(D47-E47)</f>
        <v>-8701.341041201862</v>
      </c>
      <c r="G47" s="182"/>
      <c r="H47" s="183">
        <f>SUM(D47+[2]Hoja1!$I$46)</f>
        <v>150572.42895879815</v>
      </c>
      <c r="I47" s="180">
        <f>SUM(E47+[2]Hoja1!$J$46)</f>
        <v>220095.37819465136</v>
      </c>
      <c r="J47" s="196">
        <f t="shared" si="5"/>
        <v>-69522.949235853215</v>
      </c>
      <c r="K47" s="175"/>
      <c r="L47" s="179">
        <f>+D47+[4]COMPRES!$L$47</f>
        <v>237101.22068390343</v>
      </c>
      <c r="M47" s="180">
        <f>+[1]RDOACUM!X46</f>
        <v>87534.49</v>
      </c>
      <c r="N47" s="196">
        <f t="shared" ref="N47:N62" si="7">SUM(L47-M47)</f>
        <v>149566.73068390344</v>
      </c>
    </row>
    <row r="48" spans="1:16" x14ac:dyDescent="0.2">
      <c r="B48" s="167" t="s">
        <v>76</v>
      </c>
      <c r="C48" s="187"/>
      <c r="D48" s="204">
        <f>SUM(D40:D47)</f>
        <v>526202.0537373781</v>
      </c>
      <c r="E48" s="256">
        <f>SUM(E40:E47)</f>
        <v>652208.77</v>
      </c>
      <c r="F48" s="206">
        <f t="shared" si="4"/>
        <v>-126006.71626262192</v>
      </c>
      <c r="G48" s="207"/>
      <c r="H48" s="208">
        <f>SUM(H40:H47)</f>
        <v>656127232.86373746</v>
      </c>
      <c r="I48" s="205">
        <f>SUM(I40:I47)</f>
        <v>-31227327.285815842</v>
      </c>
      <c r="J48" s="209">
        <f t="shared" si="5"/>
        <v>687354560.1495533</v>
      </c>
      <c r="K48" s="175"/>
      <c r="L48" s="204">
        <f>SUM(L40:L47)</f>
        <v>5885172.7707019476</v>
      </c>
      <c r="M48" s="256">
        <f>SUM(M40:M47)</f>
        <v>6851367.4900000012</v>
      </c>
      <c r="N48" s="209">
        <f t="shared" si="7"/>
        <v>-966194.71929805353</v>
      </c>
    </row>
    <row r="49" spans="1:15" x14ac:dyDescent="0.2">
      <c r="C49" s="168" t="s">
        <v>77</v>
      </c>
      <c r="D49" s="257">
        <f>SUM(D48,D39)</f>
        <v>95163961.526268512</v>
      </c>
      <c r="E49" s="256">
        <f>SUM(E48,E39)</f>
        <v>115458890.00999999</v>
      </c>
      <c r="F49" s="206">
        <f t="shared" si="4"/>
        <v>-20294928.483731478</v>
      </c>
      <c r="G49" s="258"/>
      <c r="H49" s="259">
        <f>SUM(H48,H39)</f>
        <v>1403332468.7462687</v>
      </c>
      <c r="I49" s="256">
        <f>SUM(I48,I39)</f>
        <v>50401016.669559859</v>
      </c>
      <c r="J49" s="209">
        <f t="shared" si="5"/>
        <v>1352931452.0767088</v>
      </c>
      <c r="K49" s="175"/>
      <c r="L49" s="257">
        <f>SUM(L48,L39)</f>
        <v>1045318940.9109318</v>
      </c>
      <c r="M49" s="256">
        <f>SUM(M48,M39)</f>
        <v>1059750265.61</v>
      </c>
      <c r="N49" s="209">
        <f t="shared" si="7"/>
        <v>-14431324.699068189</v>
      </c>
    </row>
    <row r="50" spans="1:15" x14ac:dyDescent="0.2">
      <c r="A50" s="185" t="s">
        <v>78</v>
      </c>
      <c r="C50" s="187"/>
      <c r="D50" s="242">
        <v>85000</v>
      </c>
      <c r="E50" s="240">
        <f>+[1]IYE!W51</f>
        <v>0</v>
      </c>
      <c r="F50" s="241">
        <f t="shared" si="4"/>
        <v>85000</v>
      </c>
      <c r="G50" s="252"/>
      <c r="H50" s="242">
        <f>SUM(D50+[2]Hoja1!$I$49)</f>
        <v>655824271.24000001</v>
      </c>
      <c r="I50" s="240">
        <f>SUM(E50+[2]Hoja1!$J$49)</f>
        <v>-31918704.151584148</v>
      </c>
      <c r="J50" s="243">
        <f t="shared" si="5"/>
        <v>687742975.39158416</v>
      </c>
      <c r="K50" s="175"/>
      <c r="L50" s="210">
        <f>+D50+[4]COMPRES!$L$50</f>
        <v>510000</v>
      </c>
      <c r="M50" s="189">
        <f>+[1]IYE!Y51</f>
        <v>79773.600000000006</v>
      </c>
      <c r="N50" s="243">
        <f t="shared" si="7"/>
        <v>430226.4</v>
      </c>
    </row>
    <row r="51" spans="1:15" x14ac:dyDescent="0.2">
      <c r="A51" s="185" t="s">
        <v>79</v>
      </c>
      <c r="C51" s="187"/>
      <c r="D51" s="195">
        <v>0</v>
      </c>
      <c r="E51" s="260">
        <f>+[1]IYE!W52</f>
        <v>32686</v>
      </c>
      <c r="F51" s="194">
        <f>SUM(D51-E51)</f>
        <v>-32686</v>
      </c>
      <c r="G51" s="252"/>
      <c r="H51" s="195">
        <f>SUM(D51+[2]Hoja1!$I$50)</f>
        <v>168000</v>
      </c>
      <c r="I51" s="180">
        <f>SUM(E51+[2]Hoja1!$J$50)</f>
        <v>69186</v>
      </c>
      <c r="J51" s="196">
        <f t="shared" si="5"/>
        <v>98814</v>
      </c>
      <c r="K51" s="175"/>
      <c r="L51" s="179">
        <f>+D51+[4]COMPRES!$L$51</f>
        <v>100000</v>
      </c>
      <c r="M51" s="180">
        <f>+[1]IYE!Y52</f>
        <v>150310.94</v>
      </c>
      <c r="N51" s="196">
        <f t="shared" si="7"/>
        <v>-50310.94</v>
      </c>
    </row>
    <row r="52" spans="1:15" x14ac:dyDescent="0.2">
      <c r="A52" s="185" t="s">
        <v>80</v>
      </c>
      <c r="C52" s="187"/>
      <c r="D52" s="195">
        <v>0</v>
      </c>
      <c r="E52" s="260">
        <f>+[1]IYE!W53</f>
        <v>0</v>
      </c>
      <c r="F52" s="194">
        <f t="shared" si="4"/>
        <v>0</v>
      </c>
      <c r="G52" s="252"/>
      <c r="H52" s="195">
        <f>SUM(D52+[2]Hoja1!$I$51)</f>
        <v>181001.05</v>
      </c>
      <c r="I52" s="212">
        <f>SUM(E52+[2]Hoja1!$J$51)</f>
        <v>358031.95</v>
      </c>
      <c r="J52" s="196">
        <f t="shared" si="5"/>
        <v>-177030.90000000002</v>
      </c>
      <c r="K52" s="175"/>
      <c r="L52" s="179">
        <f>+D52+[4]COMPRES!$L$52</f>
        <v>0</v>
      </c>
      <c r="M52" s="180">
        <f>+[1]IYE!Y53</f>
        <v>0</v>
      </c>
      <c r="N52" s="196">
        <f t="shared" si="7"/>
        <v>0</v>
      </c>
    </row>
    <row r="53" spans="1:15" x14ac:dyDescent="0.2">
      <c r="A53" s="185" t="s">
        <v>81</v>
      </c>
      <c r="C53" s="187"/>
      <c r="D53" s="195">
        <f>1409751+2250000</f>
        <v>3659751</v>
      </c>
      <c r="E53" s="260">
        <f>+[1]IYE!W54</f>
        <v>7897506.7299999995</v>
      </c>
      <c r="F53" s="194">
        <f t="shared" si="4"/>
        <v>-4237755.7299999995</v>
      </c>
      <c r="G53" s="252"/>
      <c r="H53" s="195">
        <f>SUM(D53+[2]Hoja1!$I$52)</f>
        <v>3659751</v>
      </c>
      <c r="I53" s="180">
        <f>SUM(E53+[2]Hoja1!$J$52)</f>
        <v>7897506.7299999995</v>
      </c>
      <c r="J53" s="196">
        <f t="shared" si="5"/>
        <v>-4237755.7299999995</v>
      </c>
      <c r="K53" s="175"/>
      <c r="L53" s="179">
        <f>+D53+[4]COMPRES!$L$53</f>
        <v>27347759</v>
      </c>
      <c r="M53" s="180">
        <f>+[1]IYE!Y54</f>
        <v>30547152.940000001</v>
      </c>
      <c r="N53" s="196">
        <f t="shared" si="7"/>
        <v>-3199393.9400000013</v>
      </c>
    </row>
    <row r="54" spans="1:15" x14ac:dyDescent="0.2">
      <c r="A54" s="185" t="s">
        <v>84</v>
      </c>
      <c r="C54" s="187"/>
      <c r="D54" s="195">
        <f>2600000-2250000+100000</f>
        <v>450000</v>
      </c>
      <c r="E54" s="260">
        <f>+[1]IYE!W55</f>
        <v>0</v>
      </c>
      <c r="F54" s="194">
        <f>SUM(D54-E54)</f>
        <v>450000</v>
      </c>
      <c r="G54" s="252"/>
      <c r="H54" s="195">
        <f>SUM(D54+[2]Hoja1!$I$53)</f>
        <v>24163675.899999999</v>
      </c>
      <c r="I54" s="180">
        <f>SUM(E54+[2]Hoja1!$J$53)</f>
        <v>-4676884.8999999985</v>
      </c>
      <c r="J54" s="196">
        <f t="shared" si="5"/>
        <v>28840560.799999997</v>
      </c>
      <c r="K54" s="175"/>
      <c r="L54" s="179">
        <f>+D54+[4]COMPRES!$L$54</f>
        <v>5400000</v>
      </c>
      <c r="M54" s="180">
        <f>+[1]IYE!Y55</f>
        <v>4029125.4299999997</v>
      </c>
      <c r="N54" s="196">
        <f t="shared" si="7"/>
        <v>1370874.5700000003</v>
      </c>
      <c r="O54" s="217"/>
    </row>
    <row r="55" spans="1:15" x14ac:dyDescent="0.2">
      <c r="A55" s="185" t="s">
        <v>85</v>
      </c>
      <c r="C55" s="187"/>
      <c r="D55" s="195">
        <f>750000-100000</f>
        <v>650000</v>
      </c>
      <c r="E55" s="260">
        <f>+[1]IYE!W56</f>
        <v>383773.22</v>
      </c>
      <c r="F55" s="194">
        <f t="shared" si="4"/>
        <v>266226.78000000003</v>
      </c>
      <c r="G55" s="252"/>
      <c r="H55" s="195">
        <f>SUM(D55+[2]Hoja1!$I$54)</f>
        <v>666195</v>
      </c>
      <c r="I55" s="180">
        <f>SUM(E55+[2]Hoja1!$J$54)</f>
        <v>718910.22</v>
      </c>
      <c r="J55" s="196">
        <f t="shared" si="5"/>
        <v>-52715.219999999972</v>
      </c>
      <c r="K55" s="175"/>
      <c r="L55" s="179">
        <f>+D55+[4]COMPRES!$L$55</f>
        <v>10450000</v>
      </c>
      <c r="M55" s="180">
        <f>+[1]IYE!Y56</f>
        <v>9844024.5600000005</v>
      </c>
      <c r="N55" s="196">
        <f t="shared" si="7"/>
        <v>605975.43999999948</v>
      </c>
    </row>
    <row r="56" spans="1:15" x14ac:dyDescent="0.2">
      <c r="A56" s="185" t="s">
        <v>86</v>
      </c>
      <c r="C56" s="187"/>
      <c r="D56" s="195">
        <v>400000</v>
      </c>
      <c r="E56" s="260">
        <f>+[1]IYE!W57</f>
        <v>45361.13</v>
      </c>
      <c r="F56" s="194">
        <f t="shared" si="4"/>
        <v>354638.87</v>
      </c>
      <c r="G56" s="252"/>
      <c r="H56" s="195">
        <f>SUM(D56+[2]Hoja1!$I$55)</f>
        <v>2146494.88</v>
      </c>
      <c r="I56" s="180">
        <f>SUM(E56+[2]Hoja1!$J$55)</f>
        <v>1194972.7000000002</v>
      </c>
      <c r="J56" s="196">
        <f t="shared" si="5"/>
        <v>951522.1799999997</v>
      </c>
      <c r="K56" s="175"/>
      <c r="L56" s="179">
        <f>+D56+[4]COMPRES!$L$56</f>
        <v>4239751</v>
      </c>
      <c r="M56" s="180">
        <f>+[1]IYE!Y57</f>
        <v>4228630.6199999992</v>
      </c>
      <c r="N56" s="196">
        <f t="shared" si="7"/>
        <v>11120.38000000082</v>
      </c>
    </row>
    <row r="57" spans="1:15" x14ac:dyDescent="0.2">
      <c r="A57" s="185" t="s">
        <v>87</v>
      </c>
      <c r="C57" s="187"/>
      <c r="D57" s="195">
        <v>100000</v>
      </c>
      <c r="E57" s="260">
        <f>+[1]IYE!W58</f>
        <v>0</v>
      </c>
      <c r="F57" s="194">
        <f t="shared" si="4"/>
        <v>100000</v>
      </c>
      <c r="G57" s="252"/>
      <c r="H57" s="195">
        <f>SUM(D57+[2]Hoja1!$I$56)</f>
        <v>4312298.28</v>
      </c>
      <c r="I57" s="180">
        <f>SUM(E57+[2]Hoja1!$J$56)</f>
        <v>-17910.730000000447</v>
      </c>
      <c r="J57" s="196">
        <f t="shared" si="5"/>
        <v>4330209.0100000007</v>
      </c>
      <c r="K57" s="175"/>
      <c r="L57" s="179">
        <f>+D57+[4]COMPRES!$L$57</f>
        <v>3600000</v>
      </c>
      <c r="M57" s="180">
        <f>+[1]IYE!Y58</f>
        <v>2351703</v>
      </c>
      <c r="N57" s="196">
        <f t="shared" si="7"/>
        <v>1248297</v>
      </c>
    </row>
    <row r="58" spans="1:15" x14ac:dyDescent="0.2">
      <c r="A58" s="185" t="s">
        <v>88</v>
      </c>
      <c r="C58" s="187"/>
      <c r="D58" s="195">
        <f>310000+250000</f>
        <v>560000</v>
      </c>
      <c r="E58" s="260">
        <f>+[1]IYE!W59</f>
        <v>5305.33</v>
      </c>
      <c r="F58" s="194">
        <f t="shared" si="4"/>
        <v>554694.67000000004</v>
      </c>
      <c r="G58" s="252"/>
      <c r="H58" s="195">
        <f>SUM(D58+[2]Hoja1!$I$57)</f>
        <v>1768098</v>
      </c>
      <c r="I58" s="180">
        <f>SUM(E58+[2]Hoja1!$J$57)</f>
        <v>2955898.52</v>
      </c>
      <c r="J58" s="196">
        <f t="shared" si="5"/>
        <v>-1187800.52</v>
      </c>
      <c r="K58" s="175"/>
      <c r="L58" s="179">
        <f>+D58+[4]COMPRES!$L$58</f>
        <v>5480000</v>
      </c>
      <c r="M58" s="180">
        <f>+[1]IYE!Y59</f>
        <v>6291479</v>
      </c>
      <c r="N58" s="196">
        <f t="shared" si="7"/>
        <v>-811479</v>
      </c>
    </row>
    <row r="59" spans="1:15" x14ac:dyDescent="0.2">
      <c r="A59" s="185" t="s">
        <v>89</v>
      </c>
      <c r="C59" s="187"/>
      <c r="D59" s="195">
        <v>85000</v>
      </c>
      <c r="E59" s="260">
        <f>+[1]IYE!W60</f>
        <v>0</v>
      </c>
      <c r="F59" s="194">
        <f t="shared" si="4"/>
        <v>85000</v>
      </c>
      <c r="G59" s="252"/>
      <c r="H59" s="195">
        <f>SUM(D59+[2]Hoja1!$I$58)</f>
        <v>-463545.14000000013</v>
      </c>
      <c r="I59" s="212">
        <f>SUM(E59+[2]Hoja1!$J$58)</f>
        <v>2881176.21</v>
      </c>
      <c r="J59" s="196">
        <f t="shared" si="5"/>
        <v>-3344721.35</v>
      </c>
      <c r="K59" s="175"/>
      <c r="L59" s="179">
        <f>+D59+[4]COMPRES!$L$59</f>
        <v>520000</v>
      </c>
      <c r="M59" s="180">
        <f>+[1]IYE!Y60</f>
        <v>236894</v>
      </c>
      <c r="N59" s="196">
        <f t="shared" si="7"/>
        <v>283106</v>
      </c>
    </row>
    <row r="60" spans="1:15" x14ac:dyDescent="0.2">
      <c r="A60" s="185" t="s">
        <v>90</v>
      </c>
      <c r="C60" s="187"/>
      <c r="D60" s="195">
        <v>0</v>
      </c>
      <c r="E60" s="260">
        <f>+[1]IYE!W61</f>
        <v>0</v>
      </c>
      <c r="F60" s="194">
        <f t="shared" si="4"/>
        <v>0</v>
      </c>
      <c r="G60" s="252"/>
      <c r="H60" s="195"/>
      <c r="I60" s="212"/>
      <c r="J60" s="196"/>
      <c r="K60" s="175"/>
      <c r="L60" s="179">
        <f>+D60+[4]COMPRES!$L$60</f>
        <v>0</v>
      </c>
      <c r="M60" s="180">
        <f>+[1]IYE!Y61</f>
        <v>0</v>
      </c>
      <c r="N60" s="196"/>
    </row>
    <row r="61" spans="1:15" x14ac:dyDescent="0.2">
      <c r="B61" s="167" t="s">
        <v>91</v>
      </c>
      <c r="C61" s="187"/>
      <c r="D61" s="261">
        <f>SUM(D50:D60)</f>
        <v>5989751</v>
      </c>
      <c r="E61" s="262">
        <f>SUM(E50:E60)</f>
        <v>8364632.4099999992</v>
      </c>
      <c r="F61" s="206">
        <f t="shared" si="4"/>
        <v>-2374881.4099999992</v>
      </c>
      <c r="G61" s="207"/>
      <c r="H61" s="263">
        <f>SUM(H50:H59)</f>
        <v>692426240.20999992</v>
      </c>
      <c r="I61" s="262">
        <f>SUM(I50:I59)</f>
        <v>-20537817.451584149</v>
      </c>
      <c r="J61" s="209">
        <f>SUM(J50:J59)</f>
        <v>712964057.66158402</v>
      </c>
      <c r="K61" s="175"/>
      <c r="L61" s="261">
        <f>SUM(L50:L60)</f>
        <v>57647510</v>
      </c>
      <c r="M61" s="262">
        <f>SUM(M50:M60)</f>
        <v>57759094.089999996</v>
      </c>
      <c r="N61" s="209">
        <f t="shared" si="7"/>
        <v>-111584.08999999613</v>
      </c>
    </row>
    <row r="62" spans="1:15" x14ac:dyDescent="0.2">
      <c r="C62" s="168" t="s">
        <v>92</v>
      </c>
      <c r="D62" s="264">
        <f>SUM(D49+D61)</f>
        <v>101153712.52626851</v>
      </c>
      <c r="E62" s="265">
        <f>SUM(E49+E61)</f>
        <v>123823522.41999999</v>
      </c>
      <c r="F62" s="222">
        <f t="shared" si="4"/>
        <v>-22669809.893731475</v>
      </c>
      <c r="G62" s="223"/>
      <c r="H62" s="266">
        <f>SUM(H49+H61)</f>
        <v>2095758708.9562688</v>
      </c>
      <c r="I62" s="265">
        <f>SUM(I49+I61)</f>
        <v>29863199.21797571</v>
      </c>
      <c r="J62" s="267">
        <f>SUM(J49+J61)</f>
        <v>2065895509.7382927</v>
      </c>
      <c r="K62" s="175"/>
      <c r="L62" s="264">
        <f>SUM(L49+L61)</f>
        <v>1102966450.9109318</v>
      </c>
      <c r="M62" s="265">
        <f>SUM(M49+M61)</f>
        <v>1117509359.7</v>
      </c>
      <c r="N62" s="268">
        <f t="shared" si="7"/>
        <v>-14542908.789068222</v>
      </c>
    </row>
    <row r="63" spans="1:15" x14ac:dyDescent="0.2">
      <c r="A63" s="235" t="s">
        <v>93</v>
      </c>
      <c r="C63" s="168"/>
      <c r="D63" s="179"/>
      <c r="E63" s="236"/>
      <c r="F63" s="181"/>
      <c r="G63" s="182"/>
      <c r="H63" s="179"/>
      <c r="I63" s="236"/>
      <c r="J63" s="181"/>
      <c r="K63" s="175"/>
      <c r="L63" s="179"/>
      <c r="M63" s="236"/>
      <c r="N63" s="181"/>
    </row>
    <row r="64" spans="1:15" x14ac:dyDescent="0.2">
      <c r="A64" s="185" t="s">
        <v>50</v>
      </c>
      <c r="C64" s="168"/>
      <c r="D64" s="210">
        <f t="shared" ref="D64:D69" si="8">+E64</f>
        <v>356632</v>
      </c>
      <c r="E64" s="189">
        <f>SUM([1]rdo!E52)</f>
        <v>356632</v>
      </c>
      <c r="F64" s="190">
        <f t="shared" si="4"/>
        <v>0</v>
      </c>
      <c r="G64" s="182"/>
      <c r="H64" s="210">
        <f>SUM(D64+[2]Hoja1!$I$61)</f>
        <v>30922178.969999999</v>
      </c>
      <c r="I64" s="189">
        <f>SUM(E64+[2]Hoja1!$J$61)</f>
        <v>3622844.2900000014</v>
      </c>
      <c r="J64" s="190">
        <f t="shared" si="5"/>
        <v>27299334.679999996</v>
      </c>
      <c r="K64" s="175"/>
      <c r="L64" s="210">
        <f t="shared" ref="L64:L69" si="9">+M64</f>
        <v>1176092</v>
      </c>
      <c r="M64" s="189">
        <f>+[1]RDOACUM!X51</f>
        <v>1176092</v>
      </c>
      <c r="N64" s="190">
        <f t="shared" ref="N64:N73" si="10">SUM(L64-M64)</f>
        <v>0</v>
      </c>
    </row>
    <row r="65" spans="1:14" x14ac:dyDescent="0.2">
      <c r="A65" s="185" t="s">
        <v>53</v>
      </c>
      <c r="C65" s="168"/>
      <c r="D65" s="211">
        <f t="shared" si="8"/>
        <v>2274009.61</v>
      </c>
      <c r="E65" s="212">
        <f>SUM([1]rdo!E53)</f>
        <v>2274009.61</v>
      </c>
      <c r="F65" s="194">
        <f t="shared" si="4"/>
        <v>0</v>
      </c>
      <c r="G65" s="182"/>
      <c r="H65" s="211">
        <f>SUM(D65+[2]Hoja1!$I$63)</f>
        <v>10798389.609999999</v>
      </c>
      <c r="I65" s="180">
        <f>SUM(E65+[2]Hoja1!$J$63)</f>
        <v>10795870.609999999</v>
      </c>
      <c r="J65" s="194">
        <f t="shared" si="5"/>
        <v>2519</v>
      </c>
      <c r="K65" s="175"/>
      <c r="L65" s="269">
        <f t="shared" si="9"/>
        <v>12621751.17</v>
      </c>
      <c r="M65" s="180">
        <f>+[1]IYE!Y67</f>
        <v>12621751.17</v>
      </c>
      <c r="N65" s="194">
        <f t="shared" si="10"/>
        <v>0</v>
      </c>
    </row>
    <row r="66" spans="1:14" x14ac:dyDescent="0.2">
      <c r="A66" s="185" t="s">
        <v>94</v>
      </c>
      <c r="C66" s="168"/>
      <c r="D66" s="211">
        <f t="shared" si="8"/>
        <v>619381.48</v>
      </c>
      <c r="E66" s="212">
        <f>SUM([1]rdo!E54)</f>
        <v>619381.48</v>
      </c>
      <c r="F66" s="194">
        <f t="shared" si="4"/>
        <v>0</v>
      </c>
      <c r="G66" s="182"/>
      <c r="H66" s="211" t="e">
        <f>SUM(D66+[2]Hoja1!$I$64)</f>
        <v>#REF!</v>
      </c>
      <c r="I66" s="180" t="e">
        <f>SUM(E66+[2]Hoja1!$J$64)</f>
        <v>#REF!</v>
      </c>
      <c r="J66" s="194" t="e">
        <f t="shared" si="5"/>
        <v>#REF!</v>
      </c>
      <c r="K66" s="175"/>
      <c r="L66" s="269">
        <f t="shared" si="9"/>
        <v>8073881.9299999997</v>
      </c>
      <c r="M66" s="180">
        <f>+[1]RDOACUM!X53</f>
        <v>8073881.9299999997</v>
      </c>
      <c r="N66" s="194">
        <f t="shared" si="10"/>
        <v>0</v>
      </c>
    </row>
    <row r="67" spans="1:14" x14ac:dyDescent="0.2">
      <c r="A67" s="185" t="s">
        <v>60</v>
      </c>
      <c r="C67" s="168"/>
      <c r="D67" s="211">
        <f t="shared" si="8"/>
        <v>37252.080000000002</v>
      </c>
      <c r="E67" s="212">
        <f>SUM([1]rdo!E55)</f>
        <v>37252.080000000002</v>
      </c>
      <c r="F67" s="194">
        <f t="shared" si="4"/>
        <v>0</v>
      </c>
      <c r="G67" s="182"/>
      <c r="H67" s="211">
        <f>SUM(D67+[2]Hoja1!$I$65)</f>
        <v>10543977.65</v>
      </c>
      <c r="I67" s="180">
        <f>SUM(E67+[2]Hoja1!$J$65)</f>
        <v>39771.08</v>
      </c>
      <c r="J67" s="194">
        <f t="shared" si="5"/>
        <v>10504206.57</v>
      </c>
      <c r="K67" s="175"/>
      <c r="L67" s="269">
        <f t="shared" si="9"/>
        <v>3448444.63</v>
      </c>
      <c r="M67" s="180">
        <f>+[1]RDOACUM!X54</f>
        <v>3448444.63</v>
      </c>
      <c r="N67" s="194">
        <f t="shared" si="10"/>
        <v>0</v>
      </c>
    </row>
    <row r="68" spans="1:14" x14ac:dyDescent="0.2">
      <c r="A68" s="185" t="s">
        <v>95</v>
      </c>
      <c r="C68" s="168"/>
      <c r="D68" s="211">
        <f t="shared" si="8"/>
        <v>0</v>
      </c>
      <c r="E68" s="212">
        <f>SUM([1]rdo!E56)</f>
        <v>0</v>
      </c>
      <c r="F68" s="194">
        <f t="shared" si="4"/>
        <v>0</v>
      </c>
      <c r="G68" s="182"/>
      <c r="H68" s="211">
        <f>SUM(D68+[2]Hoja1!$I$66)</f>
        <v>10183033.52</v>
      </c>
      <c r="I68" s="180">
        <f>SUM(E68+[2]Hoja1!$J$66)</f>
        <v>59</v>
      </c>
      <c r="J68" s="194">
        <f t="shared" si="5"/>
        <v>10182974.52</v>
      </c>
      <c r="K68" s="175"/>
      <c r="L68" s="197">
        <f t="shared" si="9"/>
        <v>0</v>
      </c>
      <c r="M68" s="198">
        <f>+[1]RDOACUM!X55</f>
        <v>0</v>
      </c>
      <c r="N68" s="194">
        <f t="shared" si="10"/>
        <v>0</v>
      </c>
    </row>
    <row r="69" spans="1:14" x14ac:dyDescent="0.2">
      <c r="A69" s="185" t="s">
        <v>63</v>
      </c>
      <c r="C69" s="168"/>
      <c r="D69" s="211">
        <f t="shared" si="8"/>
        <v>1370885.76</v>
      </c>
      <c r="E69" s="212">
        <f>SUM([1]rdo!E57)</f>
        <v>1370885.76</v>
      </c>
      <c r="F69" s="194">
        <f t="shared" si="4"/>
        <v>0</v>
      </c>
      <c r="G69" s="182"/>
      <c r="H69" s="211">
        <f>SUM(D69+[2]Hoja1!$I$67)</f>
        <v>2374203.9699999997</v>
      </c>
      <c r="I69" s="180">
        <f>SUM(E69+[2]Hoja1!$J$67)</f>
        <v>1371047.76</v>
      </c>
      <c r="J69" s="194">
        <f t="shared" si="5"/>
        <v>1003156.2099999997</v>
      </c>
      <c r="K69" s="175"/>
      <c r="L69" s="269">
        <f t="shared" si="9"/>
        <v>6609556.1099999994</v>
      </c>
      <c r="M69" s="180">
        <f>+[1]RDOACUM!X56</f>
        <v>6609556.1099999994</v>
      </c>
      <c r="N69" s="194">
        <f t="shared" si="10"/>
        <v>0</v>
      </c>
    </row>
    <row r="70" spans="1:14" x14ac:dyDescent="0.2">
      <c r="B70" s="167" t="s">
        <v>96</v>
      </c>
      <c r="C70" s="168"/>
      <c r="D70" s="270">
        <f>SUM(D64:D69)</f>
        <v>4658160.93</v>
      </c>
      <c r="E70" s="271">
        <f>SUM(E64:E69)</f>
        <v>4658160.93</v>
      </c>
      <c r="F70" s="272">
        <f t="shared" si="4"/>
        <v>0</v>
      </c>
      <c r="G70" s="207"/>
      <c r="H70" s="273" t="e">
        <f>SUM(H64:H69)</f>
        <v>#REF!</v>
      </c>
      <c r="I70" s="271" t="e">
        <f>SUM(I64:I69)</f>
        <v>#REF!</v>
      </c>
      <c r="J70" s="274" t="e">
        <f t="shared" si="5"/>
        <v>#REF!</v>
      </c>
      <c r="K70" s="175"/>
      <c r="L70" s="270">
        <f>SUM(L64:L69)</f>
        <v>31929725.84</v>
      </c>
      <c r="M70" s="271">
        <f>SUM(M64:M69)</f>
        <v>31929725.84</v>
      </c>
      <c r="N70" s="274">
        <f t="shared" si="10"/>
        <v>0</v>
      </c>
    </row>
    <row r="71" spans="1:14" x14ac:dyDescent="0.2">
      <c r="A71" s="185" t="s">
        <v>81</v>
      </c>
      <c r="B71" s="167"/>
      <c r="C71" s="168"/>
      <c r="D71" s="210">
        <f>+E71</f>
        <v>0</v>
      </c>
      <c r="E71" s="189">
        <f>+[1]IYE!W73</f>
        <v>0</v>
      </c>
      <c r="F71" s="190">
        <f t="shared" si="4"/>
        <v>0</v>
      </c>
      <c r="G71" s="182"/>
      <c r="H71" s="210">
        <f>SUM(D71+[2]Hoja1!$I$69)</f>
        <v>6363922.6299999999</v>
      </c>
      <c r="I71" s="189">
        <f>SUM(E71+[2]Hoja1!$J$69)</f>
        <v>118</v>
      </c>
      <c r="J71" s="190">
        <f>SUM(H71-I71)</f>
        <v>6363804.6299999999</v>
      </c>
      <c r="K71" s="175"/>
      <c r="L71" s="210">
        <f>+M71</f>
        <v>5370168</v>
      </c>
      <c r="M71" s="189">
        <f>+[1]IYE!Y73</f>
        <v>5370168</v>
      </c>
      <c r="N71" s="190">
        <f t="shared" si="10"/>
        <v>0</v>
      </c>
    </row>
    <row r="72" spans="1:14" x14ac:dyDescent="0.2">
      <c r="A72" s="185" t="s">
        <v>97</v>
      </c>
      <c r="C72" s="168"/>
      <c r="D72" s="211">
        <f>+E72</f>
        <v>1086881.44</v>
      </c>
      <c r="E72" s="212">
        <f>+[1]IYE!W74</f>
        <v>1086881.44</v>
      </c>
      <c r="F72" s="194">
        <f t="shared" si="4"/>
        <v>0</v>
      </c>
      <c r="G72" s="182"/>
      <c r="H72" s="195" t="e">
        <f>SUM(D72+[2]Hoja1!$I$70)</f>
        <v>#REF!</v>
      </c>
      <c r="I72" s="180" t="e">
        <f>SUM(E72+[2]Hoja1!$J$70)</f>
        <v>#REF!</v>
      </c>
      <c r="J72" s="196" t="e">
        <f t="shared" si="5"/>
        <v>#REF!</v>
      </c>
      <c r="K72" s="175"/>
      <c r="L72" s="269">
        <f>+M72</f>
        <v>20490719.030000001</v>
      </c>
      <c r="M72" s="180">
        <f>+[1]IYE!Y74</f>
        <v>20490719.030000001</v>
      </c>
      <c r="N72" s="196">
        <f t="shared" si="10"/>
        <v>0</v>
      </c>
    </row>
    <row r="73" spans="1:14" x14ac:dyDescent="0.2">
      <c r="A73" s="185" t="s">
        <v>98</v>
      </c>
      <c r="C73" s="168"/>
      <c r="D73" s="211">
        <f>+E73</f>
        <v>0</v>
      </c>
      <c r="E73" s="212">
        <f>+[1]IYE!W75</f>
        <v>0</v>
      </c>
      <c r="F73" s="194">
        <f t="shared" si="4"/>
        <v>0</v>
      </c>
      <c r="G73" s="182"/>
      <c r="H73" s="195">
        <f>SUM(D73+[2]Hoja1!$I$71)</f>
        <v>58016772.629999995</v>
      </c>
      <c r="I73" s="198">
        <f>SUM(E73+[2]Hoja1!$J$71)</f>
        <v>70</v>
      </c>
      <c r="J73" s="196">
        <f t="shared" si="5"/>
        <v>58016702.629999995</v>
      </c>
      <c r="K73" s="175"/>
      <c r="L73" s="197">
        <f>+M73</f>
        <v>0</v>
      </c>
      <c r="M73" s="198">
        <f>+[1]IYE!Y75</f>
        <v>0</v>
      </c>
      <c r="N73" s="196">
        <f t="shared" si="10"/>
        <v>0</v>
      </c>
    </row>
    <row r="74" spans="1:14" x14ac:dyDescent="0.2">
      <c r="B74" s="167" t="s">
        <v>99</v>
      </c>
      <c r="C74" s="187"/>
      <c r="D74" s="270">
        <f>SUM(D71:D73)</f>
        <v>1086881.44</v>
      </c>
      <c r="E74" s="271">
        <f>SUM(E71:E73)</f>
        <v>1086881.44</v>
      </c>
      <c r="F74" s="272">
        <f>SUM(F71:F73)</f>
        <v>0</v>
      </c>
      <c r="G74" s="207"/>
      <c r="H74" s="273" t="e">
        <f>SUM(H71:H73)</f>
        <v>#REF!</v>
      </c>
      <c r="I74" s="271" t="e">
        <f>SUM(I71:I73)</f>
        <v>#REF!</v>
      </c>
      <c r="J74" s="274" t="e">
        <f t="shared" si="5"/>
        <v>#REF!</v>
      </c>
      <c r="K74" s="175"/>
      <c r="L74" s="270">
        <f>SUM(L71:L73)</f>
        <v>25860887.030000001</v>
      </c>
      <c r="M74" s="271">
        <f>SUM(M71:M73)</f>
        <v>25860887.030000001</v>
      </c>
      <c r="N74" s="274">
        <f>SUM(N71:N73)</f>
        <v>0</v>
      </c>
    </row>
    <row r="75" spans="1:14" x14ac:dyDescent="0.2">
      <c r="B75" s="167"/>
      <c r="C75" s="168" t="s">
        <v>100</v>
      </c>
      <c r="D75" s="220">
        <f>SUM(D74,D70)</f>
        <v>5745042.3699999992</v>
      </c>
      <c r="E75" s="224">
        <f>SUM(E74,E70)</f>
        <v>5745042.3699999992</v>
      </c>
      <c r="F75" s="222">
        <f t="shared" si="4"/>
        <v>0</v>
      </c>
      <c r="G75" s="223"/>
      <c r="H75" s="224" t="e">
        <f>SUM(H74,H70)</f>
        <v>#REF!</v>
      </c>
      <c r="I75" s="224" t="e">
        <f>SUM(I74,I70)</f>
        <v>#REF!</v>
      </c>
      <c r="J75" s="225" t="e">
        <f t="shared" si="5"/>
        <v>#REF!</v>
      </c>
      <c r="K75" s="175"/>
      <c r="L75" s="220">
        <f>SUM(L74,L70)</f>
        <v>57790612.870000005</v>
      </c>
      <c r="M75" s="224">
        <f>SUM(M74,M70)</f>
        <v>57790612.870000005</v>
      </c>
      <c r="N75" s="225">
        <f>SUM(L75-M75)</f>
        <v>0</v>
      </c>
    </row>
    <row r="76" spans="1:14" x14ac:dyDescent="0.2">
      <c r="C76" s="187"/>
      <c r="D76" s="179"/>
      <c r="E76" s="180"/>
      <c r="F76" s="181"/>
      <c r="G76" s="182"/>
      <c r="H76" s="183"/>
      <c r="I76" s="180"/>
      <c r="J76" s="184"/>
      <c r="K76" s="175"/>
      <c r="L76" s="179"/>
      <c r="M76" s="180"/>
      <c r="N76" s="184"/>
    </row>
    <row r="77" spans="1:14" x14ac:dyDescent="0.2">
      <c r="C77" s="168" t="s">
        <v>101</v>
      </c>
      <c r="D77" s="220">
        <f>SUM(D62+D75)</f>
        <v>106898754.89626852</v>
      </c>
      <c r="E77" s="221">
        <f>SUM(E62+E75)</f>
        <v>129568564.78999999</v>
      </c>
      <c r="F77" s="222">
        <f>SUM(F62+F75)</f>
        <v>-22669809.893731475</v>
      </c>
      <c r="G77" s="182"/>
      <c r="H77" s="224" t="e">
        <f>SUM(H62+H75)</f>
        <v>#REF!</v>
      </c>
      <c r="I77" s="221" t="e">
        <f>SUM(I62+I75)</f>
        <v>#REF!</v>
      </c>
      <c r="J77" s="268" t="e">
        <f>SUM(J62+J75)</f>
        <v>#REF!</v>
      </c>
      <c r="K77" s="175"/>
      <c r="L77" s="220">
        <f>SUM(L62+L75)</f>
        <v>1160757063.7809319</v>
      </c>
      <c r="M77" s="221">
        <f>SUM(M62+M75)</f>
        <v>1175299972.5700002</v>
      </c>
      <c r="N77" s="268">
        <f>SUM(N62+N75)</f>
        <v>-14542908.789068222</v>
      </c>
    </row>
    <row r="78" spans="1:14" ht="13.5" thickBot="1" x14ac:dyDescent="0.25">
      <c r="A78" s="275" t="s">
        <v>102</v>
      </c>
      <c r="B78" s="276"/>
      <c r="C78" s="277"/>
      <c r="D78" s="278"/>
      <c r="E78" s="279">
        <f>+E30-E77</f>
        <v>-2489574.9599999785</v>
      </c>
      <c r="F78" s="280"/>
      <c r="G78" s="281"/>
      <c r="H78" s="282"/>
      <c r="I78" s="283" t="e">
        <f>SUM(I30-I77)</f>
        <v>#REF!</v>
      </c>
      <c r="J78" s="284"/>
      <c r="K78" s="285"/>
      <c r="L78" s="278"/>
      <c r="M78" s="279">
        <f>+M30-M77-1</f>
        <v>107482800.79999971</v>
      </c>
      <c r="N78" s="284"/>
    </row>
    <row r="79" spans="1:14" x14ac:dyDescent="0.2">
      <c r="A79" s="286"/>
      <c r="B79" s="148"/>
      <c r="C79" s="148"/>
    </row>
    <row r="80" spans="1:14" x14ac:dyDescent="0.2">
      <c r="A80" s="286"/>
      <c r="B80" s="286"/>
      <c r="C80" s="286"/>
    </row>
    <row r="81" spans="1:12" x14ac:dyDescent="0.2">
      <c r="A81" s="148"/>
      <c r="B81" s="286"/>
      <c r="C81" s="286"/>
    </row>
    <row r="82" spans="1:12" ht="15" x14ac:dyDescent="0.25">
      <c r="L82" s="213"/>
    </row>
    <row r="83" spans="1:12" ht="15" x14ac:dyDescent="0.25">
      <c r="L83" s="213"/>
    </row>
  </sheetData>
  <mergeCells count="5">
    <mergeCell ref="A1:N1"/>
    <mergeCell ref="A2:N2"/>
    <mergeCell ref="A3:N3"/>
    <mergeCell ref="D5:F5"/>
    <mergeCell ref="L5:N5"/>
  </mergeCells>
  <pageMargins left="0.75" right="0.75" top="0.71" bottom="0.75" header="0" footer="0"/>
  <pageSetup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zoomScale="130" workbookViewId="0">
      <selection activeCell="L70" sqref="L70"/>
    </sheetView>
  </sheetViews>
  <sheetFormatPr baseColWidth="10" defaultRowHeight="12.75" x14ac:dyDescent="0.2"/>
  <cols>
    <col min="1" max="1" width="1.7109375" style="185" customWidth="1"/>
    <col min="2" max="2" width="2" style="186" customWidth="1"/>
    <col min="3" max="3" width="32.5703125" style="186" bestFit="1" customWidth="1"/>
    <col min="4" max="5" width="13.28515625" style="186" bestFit="1" customWidth="1"/>
    <col min="6" max="6" width="12.85546875" style="186" customWidth="1"/>
    <col min="7" max="7" width="5.7109375" style="186" hidden="1" customWidth="1"/>
    <col min="8" max="8" width="14.85546875" style="186" hidden="1" customWidth="1"/>
    <col min="9" max="9" width="13.28515625" style="186" hidden="1" customWidth="1"/>
    <col min="10" max="10" width="14.85546875" style="187" hidden="1" customWidth="1"/>
    <col min="11" max="11" width="2.5703125" style="148" customWidth="1"/>
    <col min="12" max="13" width="14.85546875" style="148" bestFit="1" customWidth="1"/>
    <col min="14" max="14" width="14.7109375" style="148" customWidth="1"/>
    <col min="15" max="15" width="11.42578125" style="148"/>
    <col min="16" max="17" width="14.85546875" style="148" bestFit="1" customWidth="1"/>
    <col min="18" max="18" width="12.85546875" style="148" bestFit="1" customWidth="1"/>
    <col min="19" max="16384" width="11.42578125" style="148"/>
  </cols>
  <sheetData>
    <row r="1" spans="1:17" ht="18" x14ac:dyDescent="0.25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3"/>
    </row>
    <row r="2" spans="1:17" ht="15.75" x14ac:dyDescent="0.25">
      <c r="A2" s="294" t="s">
        <v>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6"/>
    </row>
    <row r="3" spans="1:17" ht="16.5" thickBot="1" x14ac:dyDescent="0.3">
      <c r="A3" s="294" t="s">
        <v>2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6"/>
    </row>
    <row r="4" spans="1:17" ht="13.5" thickBot="1" x14ac:dyDescent="0.25">
      <c r="A4" s="149"/>
      <c r="B4" s="150"/>
      <c r="C4" s="150"/>
      <c r="D4" s="151"/>
      <c r="E4" s="151"/>
      <c r="F4" s="152"/>
      <c r="G4" s="153"/>
      <c r="H4" s="154"/>
      <c r="I4" s="155"/>
      <c r="J4" s="156"/>
      <c r="K4" s="157"/>
      <c r="L4" s="151"/>
      <c r="M4" s="151"/>
      <c r="N4" s="152"/>
    </row>
    <row r="5" spans="1:17" ht="16.5" thickBot="1" x14ac:dyDescent="0.3">
      <c r="A5" s="158"/>
      <c r="B5" s="159"/>
      <c r="C5" s="160"/>
      <c r="D5" s="297" t="s">
        <v>105</v>
      </c>
      <c r="E5" s="298"/>
      <c r="F5" s="299"/>
      <c r="G5" s="161">
        <v>0</v>
      </c>
      <c r="H5" s="162" t="s">
        <v>4</v>
      </c>
      <c r="I5" s="163"/>
      <c r="J5" s="164"/>
      <c r="K5" s="165"/>
      <c r="L5" s="297" t="s">
        <v>106</v>
      </c>
      <c r="M5" s="298"/>
      <c r="N5" s="299"/>
    </row>
    <row r="6" spans="1:17" x14ac:dyDescent="0.2">
      <c r="A6" s="166"/>
      <c r="B6" s="167"/>
      <c r="C6" s="168"/>
      <c r="D6" s="169" t="s">
        <v>6</v>
      </c>
      <c r="E6" s="170" t="s">
        <v>7</v>
      </c>
      <c r="F6" s="171" t="s">
        <v>8</v>
      </c>
      <c r="G6" s="172"/>
      <c r="H6" s="173" t="s">
        <v>6</v>
      </c>
      <c r="I6" s="170" t="s">
        <v>7</v>
      </c>
      <c r="J6" s="174" t="s">
        <v>8</v>
      </c>
      <c r="K6" s="175"/>
      <c r="L6" s="169" t="s">
        <v>6</v>
      </c>
      <c r="M6" s="170" t="s">
        <v>7</v>
      </c>
      <c r="N6" s="174" t="s">
        <v>8</v>
      </c>
    </row>
    <row r="7" spans="1:17" x14ac:dyDescent="0.2">
      <c r="A7" s="176" t="s">
        <v>9</v>
      </c>
      <c r="B7" s="177"/>
      <c r="C7" s="178"/>
      <c r="D7" s="179"/>
      <c r="E7" s="180"/>
      <c r="F7" s="181"/>
      <c r="G7" s="182"/>
      <c r="H7" s="183"/>
      <c r="I7" s="180"/>
      <c r="J7" s="184"/>
      <c r="K7" s="175"/>
      <c r="L7" s="179"/>
      <c r="M7" s="180"/>
      <c r="N7" s="184"/>
    </row>
    <row r="8" spans="1:17" x14ac:dyDescent="0.2">
      <c r="A8" s="185" t="s">
        <v>10</v>
      </c>
      <c r="C8" s="187"/>
      <c r="D8" s="188">
        <f>+E8+3000000+5252000</f>
        <v>104077408</v>
      </c>
      <c r="E8" s="189">
        <f>SUM([5]rdo!E6)</f>
        <v>95825408</v>
      </c>
      <c r="F8" s="190">
        <f t="shared" ref="F8:F25" si="0">+D8-E8</f>
        <v>8252000</v>
      </c>
      <c r="G8" s="182"/>
      <c r="H8" s="191">
        <f>SUM(D8+[2]Hoja1!$I$8)</f>
        <v>411637526</v>
      </c>
      <c r="I8" s="189">
        <f>SUM(E8+[2]Hoja1!$J$8)</f>
        <v>95825408</v>
      </c>
      <c r="J8" s="192">
        <f>SUM(H8-I8)</f>
        <v>315812118</v>
      </c>
      <c r="K8" s="175"/>
      <c r="L8" s="188">
        <f>+M8+8252000</f>
        <v>636069199</v>
      </c>
      <c r="M8" s="189">
        <f>+[5]RDOACUM!Z6</f>
        <v>627817199</v>
      </c>
      <c r="N8" s="190">
        <f t="shared" ref="N8:N18" si="1">SUM(L8-M8)</f>
        <v>8252000</v>
      </c>
    </row>
    <row r="9" spans="1:17" x14ac:dyDescent="0.2">
      <c r="A9" s="185" t="s">
        <v>13</v>
      </c>
      <c r="C9" s="187"/>
      <c r="D9" s="193">
        <f>E9-25000000</f>
        <v>57639399</v>
      </c>
      <c r="E9" s="189">
        <f>SUM([5]rdo!E7)</f>
        <v>82639399</v>
      </c>
      <c r="F9" s="194">
        <f t="shared" si="0"/>
        <v>-25000000</v>
      </c>
      <c r="G9" s="182"/>
      <c r="H9" s="195">
        <f>SUM(D9+[2]Hoja1!$I$9)</f>
        <v>267520480</v>
      </c>
      <c r="I9" s="180">
        <f>SUM(E9+[2]Hoja1!$J$9)</f>
        <v>82639399</v>
      </c>
      <c r="J9" s="196">
        <f>SUM(H9-I9)</f>
        <v>184881081</v>
      </c>
      <c r="K9" s="175"/>
      <c r="L9" s="193">
        <f>+M9-25000000</f>
        <v>374656089</v>
      </c>
      <c r="M9" s="180">
        <f>+[5]RDOACUM!Z7</f>
        <v>399656089</v>
      </c>
      <c r="N9" s="194">
        <f>+L9-M9</f>
        <v>-25000000</v>
      </c>
    </row>
    <row r="10" spans="1:17" ht="15" x14ac:dyDescent="0.25">
      <c r="A10" s="185" t="s">
        <v>15</v>
      </c>
      <c r="C10" s="187"/>
      <c r="D10" s="197">
        <f>+E10</f>
        <v>0</v>
      </c>
      <c r="E10" s="198">
        <f>SUM([5]rdo!E8)</f>
        <v>0</v>
      </c>
      <c r="F10" s="199">
        <f t="shared" si="0"/>
        <v>0</v>
      </c>
      <c r="G10" s="200"/>
      <c r="H10" s="201"/>
      <c r="I10" s="198"/>
      <c r="J10" s="202"/>
      <c r="K10" s="203"/>
      <c r="L10" s="197">
        <f>+M10</f>
        <v>0</v>
      </c>
      <c r="M10" s="198">
        <f>+[5]RDOACUM!Z8</f>
        <v>0</v>
      </c>
      <c r="N10" s="194">
        <f t="shared" si="1"/>
        <v>0</v>
      </c>
    </row>
    <row r="11" spans="1:17" x14ac:dyDescent="0.2">
      <c r="B11" s="167" t="s">
        <v>16</v>
      </c>
      <c r="C11" s="187"/>
      <c r="D11" s="204">
        <f>SUM(D8:D10)</f>
        <v>161716807</v>
      </c>
      <c r="E11" s="205">
        <f>SUM(E8:E10)</f>
        <v>178464807</v>
      </c>
      <c r="F11" s="206">
        <f t="shared" si="0"/>
        <v>-16748000</v>
      </c>
      <c r="G11" s="207"/>
      <c r="H11" s="208">
        <f>SUM(H8:H9)</f>
        <v>679158006</v>
      </c>
      <c r="I11" s="205">
        <f>SUM(I8:I9)</f>
        <v>178464807</v>
      </c>
      <c r="J11" s="209">
        <f>SUM(J8:J9)</f>
        <v>500693199</v>
      </c>
      <c r="K11" s="175"/>
      <c r="L11" s="204">
        <f>SUM(L8:L10)</f>
        <v>1010725288</v>
      </c>
      <c r="M11" s="204">
        <f>+M8+M9+M10</f>
        <v>1027473288</v>
      </c>
      <c r="N11" s="206">
        <f t="shared" si="1"/>
        <v>-16748000</v>
      </c>
    </row>
    <row r="12" spans="1:17" x14ac:dyDescent="0.2">
      <c r="A12" s="185" t="s">
        <v>17</v>
      </c>
      <c r="C12" s="187"/>
      <c r="D12" s="210">
        <f>+E12</f>
        <v>3677805.73</v>
      </c>
      <c r="E12" s="189">
        <f>SUM([5]rdo!E10)</f>
        <v>3677805.73</v>
      </c>
      <c r="F12" s="190">
        <f t="shared" si="0"/>
        <v>0</v>
      </c>
      <c r="G12" s="182"/>
      <c r="H12" s="191">
        <f>SUM(D12+[2]Hoja1!$I$11)</f>
        <v>521119004.73000002</v>
      </c>
      <c r="I12" s="189">
        <f>SUM(E12+[2]Hoja1!$J$11)</f>
        <v>3677805.73</v>
      </c>
      <c r="J12" s="192">
        <f t="shared" ref="J12:J25" si="2">SUM(H12-I12)</f>
        <v>517441199</v>
      </c>
      <c r="K12" s="175"/>
      <c r="L12" s="210">
        <f>+M12</f>
        <v>33061906.41</v>
      </c>
      <c r="M12" s="189">
        <f>+[5]RDOACUM!Z10</f>
        <v>33061906.41</v>
      </c>
      <c r="N12" s="190">
        <f t="shared" si="1"/>
        <v>0</v>
      </c>
    </row>
    <row r="13" spans="1:17" x14ac:dyDescent="0.2">
      <c r="A13" s="185" t="s">
        <v>18</v>
      </c>
      <c r="C13" s="187"/>
      <c r="D13" s="179">
        <f>+E13</f>
        <v>1920000.05</v>
      </c>
      <c r="E13" s="180">
        <f>SUM([5]rdo!E11)</f>
        <v>1920000.05</v>
      </c>
      <c r="F13" s="199">
        <f t="shared" si="0"/>
        <v>0</v>
      </c>
      <c r="G13" s="182"/>
      <c r="H13" s="195">
        <f>SUM(D13+[2]Hoja1!$I$12)</f>
        <v>34626744.189999998</v>
      </c>
      <c r="I13" s="180">
        <f>SUM(E13+[2]Hoja1!$J$12)</f>
        <v>1920157.05</v>
      </c>
      <c r="J13" s="196">
        <f t="shared" si="2"/>
        <v>32706587.139999997</v>
      </c>
      <c r="K13" s="175"/>
      <c r="L13" s="179">
        <f>+M13</f>
        <v>10963864.179999998</v>
      </c>
      <c r="M13" s="180">
        <f>+[5]RDOACUM!Z11</f>
        <v>10963864.179999998</v>
      </c>
      <c r="N13" s="199">
        <f t="shared" si="1"/>
        <v>0</v>
      </c>
    </row>
    <row r="14" spans="1:17" x14ac:dyDescent="0.2">
      <c r="A14" s="185" t="s">
        <v>19</v>
      </c>
      <c r="C14" s="187"/>
      <c r="D14" s="211">
        <f>+E14</f>
        <v>0</v>
      </c>
      <c r="E14" s="212">
        <f>SUM([5]rdo!E12)</f>
        <v>0</v>
      </c>
      <c r="F14" s="199">
        <f t="shared" si="0"/>
        <v>0</v>
      </c>
      <c r="G14" s="182"/>
      <c r="H14" s="195">
        <f>SUM(D14+[2]Hoja1!$I$13)</f>
        <v>10243264.48</v>
      </c>
      <c r="I14" s="180">
        <f>SUM(E14+[2]Hoja1!$J$13)</f>
        <v>228</v>
      </c>
      <c r="J14" s="196">
        <f t="shared" si="2"/>
        <v>10243036.48</v>
      </c>
      <c r="K14" s="175"/>
      <c r="L14" s="197">
        <f>+M14</f>
        <v>0</v>
      </c>
      <c r="M14" s="198">
        <f>+[5]RDOACUM!Z12</f>
        <v>0</v>
      </c>
      <c r="N14" s="199">
        <f t="shared" si="1"/>
        <v>0</v>
      </c>
    </row>
    <row r="15" spans="1:17" x14ac:dyDescent="0.2">
      <c r="A15" s="185" t="s">
        <v>20</v>
      </c>
      <c r="C15" s="187"/>
      <c r="D15" s="179">
        <f>+E15</f>
        <v>2129641.21</v>
      </c>
      <c r="E15" s="180">
        <f>SUM([5]rdo!E13)</f>
        <v>2129641.21</v>
      </c>
      <c r="F15" s="199">
        <f t="shared" si="0"/>
        <v>0</v>
      </c>
      <c r="G15" s="182"/>
      <c r="H15" s="195">
        <f>SUM(D15+[2]Hoja1!$I$14)</f>
        <v>54638688.839999996</v>
      </c>
      <c r="I15" s="180">
        <f>SUM(E15+[2]Hoja1!$J$14)</f>
        <v>2129702.21</v>
      </c>
      <c r="J15" s="196">
        <f t="shared" si="2"/>
        <v>52508986.629999995</v>
      </c>
      <c r="K15" s="175"/>
      <c r="L15" s="179">
        <f>+M15</f>
        <v>19858117.149999999</v>
      </c>
      <c r="M15" s="180">
        <f>+[5]RDOACUM!Z13</f>
        <v>19858117.149999999</v>
      </c>
      <c r="N15" s="199">
        <f t="shared" si="1"/>
        <v>0</v>
      </c>
    </row>
    <row r="16" spans="1:17" ht="15" x14ac:dyDescent="0.25">
      <c r="B16" s="167" t="s">
        <v>21</v>
      </c>
      <c r="C16" s="187"/>
      <c r="D16" s="204">
        <f>SUM(D12:D15)</f>
        <v>7727446.9900000002</v>
      </c>
      <c r="E16" s="205">
        <f>SUM(E12:E15)</f>
        <v>7727446.9900000002</v>
      </c>
      <c r="F16" s="206">
        <f t="shared" si="0"/>
        <v>0</v>
      </c>
      <c r="G16" s="207"/>
      <c r="H16" s="208">
        <f>SUM(H12:H15)</f>
        <v>620627702.24000013</v>
      </c>
      <c r="I16" s="205">
        <f>SUM(I12:I15)</f>
        <v>7727892.9900000002</v>
      </c>
      <c r="J16" s="209">
        <f>SUM(J12:J15)</f>
        <v>612899809.25</v>
      </c>
      <c r="K16" s="175"/>
      <c r="L16" s="204">
        <f>SUM(L12:L15)-1</f>
        <v>63883886.739999995</v>
      </c>
      <c r="M16" s="204">
        <f>+M12+M13+M14+M15-1</f>
        <v>63883886.739999995</v>
      </c>
      <c r="N16" s="206">
        <f t="shared" si="1"/>
        <v>0</v>
      </c>
      <c r="Q16" s="213"/>
    </row>
    <row r="17" spans="1:18" ht="15" x14ac:dyDescent="0.25">
      <c r="A17" s="185" t="s">
        <v>22</v>
      </c>
      <c r="C17" s="187"/>
      <c r="D17" s="210">
        <f>+[3]Hoja1!$BE$15</f>
        <v>1463462.5933446845</v>
      </c>
      <c r="E17" s="189">
        <f>SUM([5]rdo!E15)</f>
        <v>3080288.35</v>
      </c>
      <c r="F17" s="190">
        <f t="shared" si="0"/>
        <v>-1616825.7566553156</v>
      </c>
      <c r="G17" s="182"/>
      <c r="H17" s="191">
        <f>SUM(D17+[2]Hoja1!$I$16)</f>
        <v>104423964.26334469</v>
      </c>
      <c r="I17" s="189">
        <f>SUM(E17+[2]Hoja1!$J$16)</f>
        <v>3095249.35</v>
      </c>
      <c r="J17" s="192">
        <f t="shared" si="2"/>
        <v>101328714.9133447</v>
      </c>
      <c r="K17" s="175"/>
      <c r="L17" s="210">
        <f>+D17+[1]COMPRES!$L$17</f>
        <v>88657796.675907165</v>
      </c>
      <c r="M17" s="189">
        <f>+[5]RDOACUM!Z15</f>
        <v>88883858.840000004</v>
      </c>
      <c r="N17" s="190">
        <f t="shared" si="1"/>
        <v>-226062.16409283876</v>
      </c>
      <c r="P17" s="214"/>
      <c r="Q17" s="213"/>
      <c r="R17" s="215"/>
    </row>
    <row r="18" spans="1:18" ht="15" x14ac:dyDescent="0.25">
      <c r="A18" s="185" t="s">
        <v>26</v>
      </c>
      <c r="C18" s="187"/>
      <c r="D18" s="216">
        <f>+[3]Hoja1!$BE$16</f>
        <v>1633339.6160049674</v>
      </c>
      <c r="E18" s="180">
        <f>SUM([5]rdo!E16)</f>
        <v>2083446.75</v>
      </c>
      <c r="F18" s="194">
        <f t="shared" si="0"/>
        <v>-450107.13399503264</v>
      </c>
      <c r="G18" s="182"/>
      <c r="H18" s="183">
        <f>SUM(D18+[2]Hoja1!$I$17)</f>
        <v>46488842.766004965</v>
      </c>
      <c r="I18" s="180">
        <f>SUM(E18+[2]Hoja1!$J$17)</f>
        <v>691704.348390311</v>
      </c>
      <c r="J18" s="196">
        <f t="shared" si="2"/>
        <v>45797138.417614654</v>
      </c>
      <c r="K18" s="175"/>
      <c r="L18" s="179">
        <f>+D18+[1]COMPRES!$L$18</f>
        <v>198854651.96916074</v>
      </c>
      <c r="M18" s="180">
        <f>+[5]RDOACUM!Z16</f>
        <v>196936442.40000001</v>
      </c>
      <c r="N18" s="194">
        <f t="shared" si="1"/>
        <v>1918209.5691607296</v>
      </c>
      <c r="P18" s="217"/>
      <c r="Q18" s="213"/>
      <c r="R18" s="213"/>
    </row>
    <row r="19" spans="1:18" x14ac:dyDescent="0.2">
      <c r="A19" s="185" t="s">
        <v>27</v>
      </c>
      <c r="C19" s="187"/>
      <c r="D19" s="216">
        <f>+[3]Hoja1!$BE$17</f>
        <v>4093168.8669182672</v>
      </c>
      <c r="E19" s="180">
        <f>SUM([5]rdo!E17)+[5]rdo!E18</f>
        <v>4576443.16</v>
      </c>
      <c r="F19" s="194">
        <f t="shared" si="0"/>
        <v>-483274.29308173293</v>
      </c>
      <c r="G19" s="182"/>
      <c r="H19" s="183">
        <f>SUM(D19+[2]Hoja1!$I$18)</f>
        <v>93855620.616918266</v>
      </c>
      <c r="I19" s="180">
        <f>SUM(E19+[2]Hoja1!$J$18)</f>
        <v>4432931.5012165941</v>
      </c>
      <c r="J19" s="196">
        <f t="shared" si="2"/>
        <v>89422689.115701675</v>
      </c>
      <c r="K19" s="175"/>
      <c r="L19" s="179">
        <f>+D19+[1]COMPRES!$L$19</f>
        <v>72679110.359849676</v>
      </c>
      <c r="M19" s="180">
        <f>+[5]RDOACUM!Z17+[5]RDOACUM!Z18</f>
        <v>81664635.079999998</v>
      </c>
      <c r="N19" s="194">
        <f t="shared" ref="N19:N24" si="3">SUM(L19-M19)</f>
        <v>-8985524.7201503217</v>
      </c>
    </row>
    <row r="20" spans="1:18" x14ac:dyDescent="0.2">
      <c r="A20" s="185" t="s">
        <v>31</v>
      </c>
      <c r="C20" s="187"/>
      <c r="D20" s="216">
        <f>+[3]Hoja1!$BE$18</f>
        <v>275652.09234687546</v>
      </c>
      <c r="E20" s="180">
        <f>SUM([5]rdo!E19)</f>
        <v>1236050</v>
      </c>
      <c r="F20" s="194">
        <f t="shared" si="0"/>
        <v>-960397.90765312454</v>
      </c>
      <c r="G20" s="182"/>
      <c r="H20" s="183">
        <f>SUM(D20+[2]Hoja1!$I$20)</f>
        <v>6731741.092346875</v>
      </c>
      <c r="I20" s="180">
        <f>SUM(E20+[2]Hoja1!$J$20)</f>
        <v>411177.35597033333</v>
      </c>
      <c r="J20" s="196">
        <f t="shared" si="2"/>
        <v>6320563.7363765417</v>
      </c>
      <c r="K20" s="175"/>
      <c r="L20" s="179">
        <f>+D20+[1]COMPRES!$L$20</f>
        <v>10011608.759103378</v>
      </c>
      <c r="M20" s="180">
        <f>+[5]RDOACUM!Z19</f>
        <v>7570976</v>
      </c>
      <c r="N20" s="194">
        <f t="shared" si="3"/>
        <v>2440632.7591033783</v>
      </c>
      <c r="O20" s="217"/>
    </row>
    <row r="21" spans="1:18" x14ac:dyDescent="0.2">
      <c r="A21" s="185" t="s">
        <v>34</v>
      </c>
      <c r="C21" s="187"/>
      <c r="D21" s="216">
        <f>+[3]Hoja1!$BE$19</f>
        <v>437005.96322179225</v>
      </c>
      <c r="E21" s="180">
        <f>SUM([5]rdo!E20)</f>
        <v>278599.46000000002</v>
      </c>
      <c r="F21" s="194">
        <f t="shared" si="0"/>
        <v>158406.50322179223</v>
      </c>
      <c r="G21" s="182"/>
      <c r="H21" s="183">
        <f>SUM(D21+[2]Hoja1!$I$21)</f>
        <v>3503496.4632217921</v>
      </c>
      <c r="I21" s="180">
        <f>SUM(E21+[2]Hoja1!$J$21)</f>
        <v>-558565.57425335469</v>
      </c>
      <c r="J21" s="196">
        <f t="shared" si="2"/>
        <v>4062062.0374751468</v>
      </c>
      <c r="K21" s="175"/>
      <c r="L21" s="179">
        <f>+D21+[1]COMPRES!$L$21</f>
        <v>3636182.6873762398</v>
      </c>
      <c r="M21" s="180">
        <f>+[5]RDOACUM!Z20-1</f>
        <v>2700495.72</v>
      </c>
      <c r="N21" s="194">
        <f t="shared" si="3"/>
        <v>935686.9673762396</v>
      </c>
    </row>
    <row r="22" spans="1:18" x14ac:dyDescent="0.2">
      <c r="A22" s="185" t="s">
        <v>35</v>
      </c>
      <c r="C22" s="187"/>
      <c r="D22" s="216">
        <f>+[3]Hoja1!$BE$20</f>
        <v>1851303.6253824572</v>
      </c>
      <c r="E22" s="180">
        <f>SUM([5]rdo!E21)</f>
        <v>685389.56</v>
      </c>
      <c r="F22" s="194">
        <f t="shared" si="0"/>
        <v>1165914.0653824571</v>
      </c>
      <c r="G22" s="182"/>
      <c r="H22" s="183">
        <f>SUM(D22+[2]Hoja1!$I$22)</f>
        <v>15815250.605382457</v>
      </c>
      <c r="I22" s="180">
        <f>SUM(E22+[2]Hoja1!$J$22)</f>
        <v>6161979.6617196482</v>
      </c>
      <c r="J22" s="196">
        <f t="shared" si="2"/>
        <v>9653270.9436628092</v>
      </c>
      <c r="K22" s="175"/>
      <c r="L22" s="179">
        <f>+D22+[1]COMPRES!$L$22</f>
        <v>27956871.777576596</v>
      </c>
      <c r="M22" s="180">
        <f>+[5]RDOACUM!Z21</f>
        <v>25496633.090000004</v>
      </c>
      <c r="N22" s="194">
        <f t="shared" si="3"/>
        <v>2460238.687576592</v>
      </c>
    </row>
    <row r="23" spans="1:18" x14ac:dyDescent="0.2">
      <c r="A23" s="185" t="s">
        <v>38</v>
      </c>
      <c r="C23" s="187"/>
      <c r="D23" s="216">
        <f>+[3]Hoja1!$BE$21</f>
        <v>452341.41682278033</v>
      </c>
      <c r="E23" s="180">
        <f>SUM([5]rdo!E22)</f>
        <v>423695.94</v>
      </c>
      <c r="F23" s="194">
        <f t="shared" si="0"/>
        <v>28645.476822780329</v>
      </c>
      <c r="G23" s="182"/>
      <c r="H23" s="183">
        <f>SUM(D23+[2]Hoja1!$I$23)</f>
        <v>1680272.1868227804</v>
      </c>
      <c r="I23" s="180">
        <f>SUM(E23+[2]Hoja1!$J$23)</f>
        <v>1607813.2199068642</v>
      </c>
      <c r="J23" s="196">
        <f t="shared" si="2"/>
        <v>72458.966915916186</v>
      </c>
      <c r="K23" s="175"/>
      <c r="L23" s="179">
        <f>+D23+[1]COMPRES!$L$23</f>
        <v>4548013.0500826053</v>
      </c>
      <c r="M23" s="180">
        <f>+[5]RDOACUM!Z22</f>
        <v>3716575.94</v>
      </c>
      <c r="N23" s="194">
        <f t="shared" si="3"/>
        <v>831437.11008260539</v>
      </c>
    </row>
    <row r="24" spans="1:18" x14ac:dyDescent="0.2">
      <c r="A24" s="185" t="s">
        <v>39</v>
      </c>
      <c r="C24" s="187"/>
      <c r="D24" s="216">
        <f>+[3]Hoja1!$BE$22</f>
        <v>580913.03311852505</v>
      </c>
      <c r="E24" s="180">
        <f>SUM([5]rdo!E23)</f>
        <v>920429.91</v>
      </c>
      <c r="F24" s="194">
        <f t="shared" si="0"/>
        <v>-339516.87688147498</v>
      </c>
      <c r="G24" s="182"/>
      <c r="H24" s="183">
        <f>SUM(D24+[2]Hoja1!$I$24)</f>
        <v>5173888.8231185246</v>
      </c>
      <c r="I24" s="180">
        <f>SUM(E24+[2]Hoja1!$J$24)</f>
        <v>-305487.25069674675</v>
      </c>
      <c r="J24" s="196">
        <f t="shared" si="2"/>
        <v>5479376.0738152713</v>
      </c>
      <c r="K24" s="175"/>
      <c r="L24" s="179">
        <f>+D24+[1]COMPRES!$L$24</f>
        <v>6203377.7588846534</v>
      </c>
      <c r="M24" s="180">
        <f>+[5]RDOACUM!Z23</f>
        <v>6157232.9299999997</v>
      </c>
      <c r="N24" s="194">
        <f t="shared" si="3"/>
        <v>46144.828884653747</v>
      </c>
    </row>
    <row r="25" spans="1:18" x14ac:dyDescent="0.2">
      <c r="A25" s="185" t="s">
        <v>40</v>
      </c>
      <c r="C25" s="187"/>
      <c r="D25" s="216">
        <f>+[3]Hoja1!$BE$23</f>
        <v>3287673.9511223519</v>
      </c>
      <c r="E25" s="180">
        <f>SUM([5]rdo!E24)</f>
        <v>12388624.620000001</v>
      </c>
      <c r="F25" s="194">
        <f t="shared" si="0"/>
        <v>-9100950.6688776501</v>
      </c>
      <c r="G25" s="182"/>
      <c r="H25" s="218">
        <f>SUM(D25+[2]Hoja1!$I$25)</f>
        <v>23732850.961122353</v>
      </c>
      <c r="I25" s="180">
        <f>SUM(E25+[2]Hoja1!$J$25)</f>
        <v>-843054.05117308348</v>
      </c>
      <c r="J25" s="196">
        <f t="shared" si="2"/>
        <v>24575905.012295436</v>
      </c>
      <c r="K25" s="175"/>
      <c r="L25" s="179">
        <f>+D25+[1]COMPRES!$L$25-1</f>
        <v>34163772.530471876</v>
      </c>
      <c r="M25" s="180">
        <f>+[5]RDOACUM!Z24+1</f>
        <v>46004697.319999993</v>
      </c>
      <c r="N25" s="194">
        <f>SUM(L25-M25)+1</f>
        <v>-11840923.789528117</v>
      </c>
    </row>
    <row r="26" spans="1:18" x14ac:dyDescent="0.2">
      <c r="B26" s="167" t="s">
        <v>44</v>
      </c>
      <c r="C26" s="187"/>
      <c r="D26" s="204">
        <f>SUM(D17:D25)</f>
        <v>14074861.158282701</v>
      </c>
      <c r="E26" s="205">
        <f>SUM(E17:E25)</f>
        <v>25672967.75</v>
      </c>
      <c r="F26" s="206">
        <f>+D26-E26</f>
        <v>-11598106.591717299</v>
      </c>
      <c r="G26" s="207"/>
      <c r="H26" s="208">
        <f>SUM(H17:H25)</f>
        <v>301405927.77828264</v>
      </c>
      <c r="I26" s="205">
        <f>SUM(I17:I25)</f>
        <v>14693748.561080566</v>
      </c>
      <c r="J26" s="209">
        <f>SUM(J17:J25)</f>
        <v>286712179.21720213</v>
      </c>
      <c r="K26" s="175"/>
      <c r="L26" s="204">
        <f>SUM(L17:L25)+1</f>
        <v>446711386.56841302</v>
      </c>
      <c r="M26" s="205">
        <f>SUM(M17:M25)</f>
        <v>459131547.31999999</v>
      </c>
      <c r="N26" s="219">
        <f>SUM(L26-M26)+1</f>
        <v>-12420159.751586974</v>
      </c>
    </row>
    <row r="27" spans="1:18" x14ac:dyDescent="0.2">
      <c r="C27" s="168" t="s">
        <v>45</v>
      </c>
      <c r="D27" s="220">
        <f>SUM(D26,D16,D11)</f>
        <v>183519115.14828271</v>
      </c>
      <c r="E27" s="221">
        <f>SUM(E26,E16,E11)</f>
        <v>211865221.74000001</v>
      </c>
      <c r="F27" s="222">
        <f>+D27-E27</f>
        <v>-28346106.591717303</v>
      </c>
      <c r="G27" s="223"/>
      <c r="H27" s="224">
        <f>SUM(H26+H16+H11)</f>
        <v>1601191636.0182829</v>
      </c>
      <c r="I27" s="224">
        <f>SUM(I26,I16,I11)</f>
        <v>200886448.55108055</v>
      </c>
      <c r="J27" s="225">
        <f>SUM(J11+J16+J26)</f>
        <v>1400305187.4672022</v>
      </c>
      <c r="K27" s="175"/>
      <c r="L27" s="220">
        <f>SUM(L26,L16,L11)+1</f>
        <v>1521320562.308413</v>
      </c>
      <c r="M27" s="221">
        <f>SUM(M26,M16,M11)</f>
        <v>1550488722.0599999</v>
      </c>
      <c r="N27" s="222">
        <f>SUM(L27-M27)</f>
        <v>-29168159.751586914</v>
      </c>
    </row>
    <row r="28" spans="1:18" x14ac:dyDescent="0.2">
      <c r="C28" s="168"/>
      <c r="D28" s="226"/>
      <c r="E28" s="227"/>
      <c r="F28" s="228"/>
      <c r="G28" s="223"/>
      <c r="H28" s="224"/>
      <c r="I28" s="229"/>
      <c r="J28" s="222">
        <v>0</v>
      </c>
      <c r="K28" s="175"/>
      <c r="L28" s="226"/>
      <c r="M28" s="227"/>
      <c r="N28" s="228"/>
    </row>
    <row r="29" spans="1:18" x14ac:dyDescent="0.2">
      <c r="B29" s="186" t="s">
        <v>46</v>
      </c>
      <c r="C29" s="168"/>
      <c r="D29" s="230">
        <f>+[3]Hoja1!$BE$28</f>
        <v>798246.12025616819</v>
      </c>
      <c r="E29" s="231">
        <f>SUM([5]rdo!E29)</f>
        <v>1648476.01</v>
      </c>
      <c r="F29" s="232">
        <f>+D29-E29</f>
        <v>-850229.88974383182</v>
      </c>
      <c r="G29" s="223"/>
      <c r="H29" s="195">
        <f>SUM(D29+[2]Hoja1!$I$29)</f>
        <v>21412098.250256166</v>
      </c>
      <c r="I29" s="180">
        <f>SUM(E29+[2]Hoja1!$J$29)</f>
        <v>286276.47798945219</v>
      </c>
      <c r="J29" s="233">
        <f>SUM(H29-I29)</f>
        <v>21125821.772266712</v>
      </c>
      <c r="K29" s="175"/>
      <c r="L29" s="234">
        <f>+D29+[1]COMPRES!$L$29</f>
        <v>56487130.074714929</v>
      </c>
      <c r="M29" s="231">
        <f>+[5]RDOACUM!Z29</f>
        <v>57489203.960000008</v>
      </c>
      <c r="N29" s="232">
        <f>SUM(L29-M29)</f>
        <v>-1002073.8852850795</v>
      </c>
    </row>
    <row r="30" spans="1:18" x14ac:dyDescent="0.2">
      <c r="C30" s="168" t="s">
        <v>47</v>
      </c>
      <c r="D30" s="220">
        <f>SUM(D27-D29)</f>
        <v>182720869.02802655</v>
      </c>
      <c r="E30" s="221">
        <f>SUM(E27-E29)</f>
        <v>210216745.73000002</v>
      </c>
      <c r="F30" s="222">
        <f>SUM(F27-F29)</f>
        <v>-27495876.701973472</v>
      </c>
      <c r="G30" s="223"/>
      <c r="H30" s="224">
        <f>SUM(H27-H29)</f>
        <v>1579779537.7680268</v>
      </c>
      <c r="I30" s="224">
        <f>SUM(I27-I29)</f>
        <v>200600172.07309109</v>
      </c>
      <c r="J30" s="225">
        <f>SUM(J27-J29)</f>
        <v>1379179365.6949356</v>
      </c>
      <c r="K30" s="175"/>
      <c r="L30" s="220">
        <f>SUM(L27-L29)</f>
        <v>1464833432.2336981</v>
      </c>
      <c r="M30" s="221">
        <f>SUM(M27-M29)</f>
        <v>1492999518.0999999</v>
      </c>
      <c r="N30" s="222">
        <f>+L30-M30</f>
        <v>-28166085.866301775</v>
      </c>
    </row>
    <row r="31" spans="1:18" x14ac:dyDescent="0.2">
      <c r="A31" s="235" t="s">
        <v>48</v>
      </c>
      <c r="C31" s="187"/>
      <c r="D31" s="179"/>
      <c r="E31" s="236"/>
      <c r="F31" s="181"/>
      <c r="G31" s="182"/>
      <c r="H31" s="183"/>
      <c r="I31" s="180"/>
      <c r="J31" s="184"/>
      <c r="K31" s="175"/>
      <c r="L31" s="179"/>
      <c r="M31" s="180"/>
      <c r="N31" s="184"/>
    </row>
    <row r="32" spans="1:18" x14ac:dyDescent="0.2">
      <c r="A32" s="176" t="s">
        <v>49</v>
      </c>
      <c r="B32" s="237"/>
      <c r="C32" s="238"/>
      <c r="D32" s="179"/>
      <c r="E32" s="180"/>
      <c r="F32" s="181"/>
      <c r="G32" s="182"/>
      <c r="H32" s="183"/>
      <c r="I32" s="180"/>
      <c r="J32" s="184"/>
      <c r="K32" s="175"/>
      <c r="L32" s="179"/>
      <c r="M32" s="180"/>
      <c r="N32" s="184"/>
    </row>
    <row r="33" spans="1:16" x14ac:dyDescent="0.2">
      <c r="A33" s="185" t="s">
        <v>50</v>
      </c>
      <c r="C33" s="187"/>
      <c r="D33" s="239">
        <f>+[3]Hoja1!$BE$34+5422214</f>
        <v>115572955.61420856</v>
      </c>
      <c r="E33" s="240">
        <f>SUM([5]rdo!E34)</f>
        <v>119780918.27</v>
      </c>
      <c r="F33" s="241">
        <f t="shared" ref="F33:F75" si="4">SUM(D33-E33)</f>
        <v>-4207962.6557914317</v>
      </c>
      <c r="G33" s="182"/>
      <c r="H33" s="242">
        <f>SUM(D33+[2]Hoja1!$I$33)</f>
        <v>626475094.42420852</v>
      </c>
      <c r="I33" s="240">
        <f>SUM(E33+[2]Hoja1!$J$33)</f>
        <v>107364726.69027258</v>
      </c>
      <c r="J33" s="243">
        <f t="shared" ref="J33:J75" si="5">SUM(H33-I33)</f>
        <v>519110367.73393595</v>
      </c>
      <c r="K33" s="175"/>
      <c r="L33" s="210">
        <f>+D33+[1]COMPRES!$L$33</f>
        <v>904509016.31895494</v>
      </c>
      <c r="M33" s="189">
        <f>+[5]RDOACUM!Z33</f>
        <v>913476196.70999992</v>
      </c>
      <c r="N33" s="243">
        <f>SUM(L33-M33)-1</f>
        <v>-8967181.3910449743</v>
      </c>
      <c r="P33" s="217">
        <v>912586334</v>
      </c>
    </row>
    <row r="34" spans="1:16" ht="15" x14ac:dyDescent="0.25">
      <c r="A34" s="185" t="s">
        <v>53</v>
      </c>
      <c r="C34" s="187"/>
      <c r="D34" s="244">
        <f>+[3]Hoja1!$BE$35</f>
        <v>10160518.414879939</v>
      </c>
      <c r="E34" s="180">
        <f>SUM([5]rdo!E35)</f>
        <v>19614939.41</v>
      </c>
      <c r="F34" s="194">
        <f t="shared" si="4"/>
        <v>-9454420.9951200616</v>
      </c>
      <c r="G34" s="182"/>
      <c r="H34" s="183">
        <f>SUM(D34+[2]Hoja1!$I$34)</f>
        <v>84010108.164879933</v>
      </c>
      <c r="I34" s="180">
        <f>SUM(E34+[2]Hoja1!$J$34)</f>
        <v>10089610.009402145</v>
      </c>
      <c r="J34" s="196">
        <f t="shared" si="5"/>
        <v>73920498.155477792</v>
      </c>
      <c r="K34" s="175"/>
      <c r="L34" s="179">
        <f>+D34+[1]COMPRES!$L$34</f>
        <v>124572122.28600016</v>
      </c>
      <c r="M34" s="180">
        <f>+[5]IYE!AA35</f>
        <v>145725189.26999998</v>
      </c>
      <c r="N34" s="196">
        <f t="shared" ref="N34:N62" si="6">SUM(L34-M34)</f>
        <v>-21153066.983999819</v>
      </c>
      <c r="P34" s="213">
        <f>+P33/12</f>
        <v>76048861.166666672</v>
      </c>
    </row>
    <row r="35" spans="1:16" ht="15" x14ac:dyDescent="0.25">
      <c r="A35" s="185" t="s">
        <v>57</v>
      </c>
      <c r="C35" s="187"/>
      <c r="D35" s="244">
        <f>+[3]Hoja1!$BE$36</f>
        <v>5017300.6773466393</v>
      </c>
      <c r="E35" s="180">
        <f>SUM([5]rdo!E36)</f>
        <v>8303613.4000000004</v>
      </c>
      <c r="F35" s="194">
        <f t="shared" si="4"/>
        <v>-3286312.722653361</v>
      </c>
      <c r="G35" s="182"/>
      <c r="H35" s="183">
        <f>SUM(D35+[2]Hoja1!$I$35)</f>
        <v>36866567.877346635</v>
      </c>
      <c r="I35" s="180">
        <f>SUM(E35+[2]Hoja1!$J$35)</f>
        <v>4479355.9872483667</v>
      </c>
      <c r="J35" s="196">
        <f t="shared" si="5"/>
        <v>32387211.890098266</v>
      </c>
      <c r="K35" s="175"/>
      <c r="L35" s="179">
        <f>+D35+[1]COMPRES!$L$35</f>
        <v>60032783.054143585</v>
      </c>
      <c r="M35" s="180">
        <f>+[5]RDOACUM!Z35</f>
        <v>67226391.739999995</v>
      </c>
      <c r="N35" s="196">
        <f t="shared" si="6"/>
        <v>-7193608.6858564094</v>
      </c>
      <c r="P35" s="213">
        <f>+P34*10</f>
        <v>760488611.66666675</v>
      </c>
    </row>
    <row r="36" spans="1:16" x14ac:dyDescent="0.2">
      <c r="A36" s="185" t="s">
        <v>60</v>
      </c>
      <c r="C36" s="187"/>
      <c r="D36" s="244">
        <f>+[3]Hoja1!$BE$37</f>
        <v>3699923.2412038427</v>
      </c>
      <c r="E36" s="180">
        <f>SUM([5]rdo!E37)</f>
        <v>3787906.03</v>
      </c>
      <c r="F36" s="194">
        <f t="shared" si="4"/>
        <v>-87982.78879615711</v>
      </c>
      <c r="G36" s="182"/>
      <c r="H36" s="183">
        <f>SUM(D36+[2]Hoja1!$I$36)</f>
        <v>26604674.881203845</v>
      </c>
      <c r="I36" s="180">
        <f>SUM(E36+[2]Hoja1!$J$36)</f>
        <v>-81508.551273887511</v>
      </c>
      <c r="J36" s="196">
        <f t="shared" si="5"/>
        <v>26686183.432477731</v>
      </c>
      <c r="K36" s="175"/>
      <c r="L36" s="179">
        <f>+D36+[1]COMPRES!$L$36</f>
        <v>52250978.937741183</v>
      </c>
      <c r="M36" s="180">
        <f>+[5]RDOACUM!Z36</f>
        <v>45427182.539999999</v>
      </c>
      <c r="N36" s="196">
        <f t="shared" si="6"/>
        <v>6823796.3977411836</v>
      </c>
    </row>
    <row r="37" spans="1:16" x14ac:dyDescent="0.2">
      <c r="A37" s="185" t="s">
        <v>63</v>
      </c>
      <c r="C37" s="187"/>
      <c r="D37" s="244">
        <f>+[3]Hoja1!$BE$38</f>
        <v>4439819.4123308854</v>
      </c>
      <c r="E37" s="180">
        <f>SUM([5]rdo!E38)</f>
        <v>2998091.59</v>
      </c>
      <c r="F37" s="194">
        <f t="shared" si="4"/>
        <v>1441727.8223308856</v>
      </c>
      <c r="G37" s="182"/>
      <c r="H37" s="218">
        <f>SUM(D37+[2]Hoja1!$I$37)</f>
        <v>17501548.422330886</v>
      </c>
      <c r="I37" s="180">
        <f>SUM(E37+[2]Hoja1!$J$37)</f>
        <v>-545052.72027350217</v>
      </c>
      <c r="J37" s="196">
        <f t="shared" si="5"/>
        <v>18046601.142604388</v>
      </c>
      <c r="K37" s="175"/>
      <c r="L37" s="179">
        <f>+D37+[1]COMPRES!$L$37</f>
        <v>36959384.903359815</v>
      </c>
      <c r="M37" s="180">
        <f>+[5]RDOACUM!Z37</f>
        <v>35529406.560000002</v>
      </c>
      <c r="N37" s="194">
        <f t="shared" si="6"/>
        <v>1429978.3433598131</v>
      </c>
    </row>
    <row r="38" spans="1:16" x14ac:dyDescent="0.2">
      <c r="A38" s="185" t="s">
        <v>66</v>
      </c>
      <c r="B38" s="245"/>
      <c r="C38" s="245"/>
      <c r="D38" s="246">
        <v>0</v>
      </c>
      <c r="E38" s="247">
        <v>0</v>
      </c>
      <c r="F38" s="248">
        <f t="shared" si="4"/>
        <v>0</v>
      </c>
      <c r="G38" s="249">
        <f>SUM(E38)</f>
        <v>0</v>
      </c>
      <c r="H38" s="250" t="e">
        <f>SUM(G38/G61)*100</f>
        <v>#DIV/0!</v>
      </c>
      <c r="I38" s="148"/>
      <c r="J38" s="148"/>
      <c r="L38" s="246">
        <v>0</v>
      </c>
      <c r="M38" s="247">
        <v>0</v>
      </c>
      <c r="N38" s="194">
        <f t="shared" si="6"/>
        <v>0</v>
      </c>
    </row>
    <row r="39" spans="1:16" x14ac:dyDescent="0.2">
      <c r="B39" s="167" t="s">
        <v>67</v>
      </c>
      <c r="C39" s="187"/>
      <c r="D39" s="204">
        <f>SUM(D33:D38)</f>
        <v>138890517.35996988</v>
      </c>
      <c r="E39" s="205">
        <f>SUM(E33:E38)</f>
        <v>154485468.70000002</v>
      </c>
      <c r="F39" s="206">
        <f t="shared" si="4"/>
        <v>-15594951.340030134</v>
      </c>
      <c r="G39" s="207"/>
      <c r="H39" s="208">
        <f>SUM(H33:H37)</f>
        <v>791457993.76996982</v>
      </c>
      <c r="I39" s="205">
        <f>SUM(I33:I37)</f>
        <v>121307131.41537571</v>
      </c>
      <c r="J39" s="209">
        <f t="shared" si="5"/>
        <v>670150862.35459411</v>
      </c>
      <c r="K39" s="175"/>
      <c r="L39" s="204">
        <f>SUM(L33:L38)-1</f>
        <v>1178324284.5001998</v>
      </c>
      <c r="M39" s="205">
        <f>SUM(M33:M38)+1</f>
        <v>1207384367.8199997</v>
      </c>
      <c r="N39" s="209">
        <f t="shared" si="6"/>
        <v>-29060083.3197999</v>
      </c>
    </row>
    <row r="40" spans="1:16" x14ac:dyDescent="0.2">
      <c r="A40" s="185" t="s">
        <v>68</v>
      </c>
      <c r="C40" s="187"/>
      <c r="D40" s="239">
        <f>+[3]Hoja1!$BE$40</f>
        <v>80680.329562989617</v>
      </c>
      <c r="E40" s="251">
        <f>SUM([5]rdo!E40)</f>
        <v>193121.45</v>
      </c>
      <c r="F40" s="241">
        <f t="shared" si="4"/>
        <v>-112441.1204370104</v>
      </c>
      <c r="G40" s="252"/>
      <c r="H40" s="242">
        <f>SUM(D40+[2]Hoja1!$I$39)</f>
        <v>652648156.73956299</v>
      </c>
      <c r="I40" s="240">
        <f>SUM(E40+[2]Hoja1!$J$39)</f>
        <v>-32985215.834624339</v>
      </c>
      <c r="J40" s="243">
        <f t="shared" si="5"/>
        <v>685633372.57418728</v>
      </c>
      <c r="K40" s="175"/>
      <c r="L40" s="210">
        <f>+D40+[1]COMPRES!$L$40</f>
        <v>1383512.0486430011</v>
      </c>
      <c r="M40" s="189">
        <f>+[5]RDOACUM!Z39</f>
        <v>1322618.7</v>
      </c>
      <c r="N40" s="243">
        <f t="shared" si="6"/>
        <v>60893.348643001169</v>
      </c>
    </row>
    <row r="41" spans="1:16" x14ac:dyDescent="0.2">
      <c r="A41" s="185" t="s">
        <v>69</v>
      </c>
      <c r="C41" s="187"/>
      <c r="D41" s="179">
        <f>+[3]Hoja1!$BE$41</f>
        <v>152608.28313650077</v>
      </c>
      <c r="E41" s="180">
        <f>SUM([5]rdo!E41)</f>
        <v>61985.04</v>
      </c>
      <c r="F41" s="194">
        <f t="shared" si="4"/>
        <v>90623.243136500765</v>
      </c>
      <c r="G41" s="182"/>
      <c r="H41" s="183">
        <f>SUM(D41+[2]Hoja1!$I$40)</f>
        <v>888343.45313650079</v>
      </c>
      <c r="I41" s="180">
        <f>SUM(E41+[2]Hoja1!$J$40)</f>
        <v>347229.59788228531</v>
      </c>
      <c r="J41" s="253">
        <f t="shared" si="5"/>
        <v>541113.85525421542</v>
      </c>
      <c r="K41" s="175"/>
      <c r="L41" s="179">
        <f>+D41+[1]COMPRES!$L$41</f>
        <v>716439.55228702503</v>
      </c>
      <c r="M41" s="180">
        <f>+[5]RDOACUM!Z40</f>
        <v>1326710.81</v>
      </c>
      <c r="N41" s="196">
        <f t="shared" si="6"/>
        <v>-610271.25771297503</v>
      </c>
    </row>
    <row r="42" spans="1:16" x14ac:dyDescent="0.2">
      <c r="A42" s="185" t="s">
        <v>70</v>
      </c>
      <c r="C42" s="187"/>
      <c r="D42" s="179">
        <f>+[3]Hoja1!$BE$42</f>
        <v>196982.16500837167</v>
      </c>
      <c r="E42" s="180">
        <f>SUM([5]rdo!E42)</f>
        <v>243669.64</v>
      </c>
      <c r="F42" s="194">
        <f t="shared" si="4"/>
        <v>-46687.474991628347</v>
      </c>
      <c r="G42" s="182"/>
      <c r="H42" s="183">
        <f>SUM(D42+[2]Hoja1!$I$41)</f>
        <v>237478.06500837166</v>
      </c>
      <c r="I42" s="180">
        <f>SUM(E42+[2]Hoja1!$J$41)</f>
        <v>264775.50214633736</v>
      </c>
      <c r="J42" s="253">
        <f t="shared" si="5"/>
        <v>-27297.437137965695</v>
      </c>
      <c r="K42" s="175"/>
      <c r="L42" s="179">
        <f>+D42+[1]COMPRES!$L$42</f>
        <v>3063224.7787855663</v>
      </c>
      <c r="M42" s="180">
        <f>+[5]RDOACUM!Z41</f>
        <v>3552630.25</v>
      </c>
      <c r="N42" s="196">
        <f t="shared" si="6"/>
        <v>-489405.47121443367</v>
      </c>
    </row>
    <row r="43" spans="1:16" x14ac:dyDescent="0.2">
      <c r="A43" s="185" t="s">
        <v>71</v>
      </c>
      <c r="C43" s="187"/>
      <c r="D43" s="179">
        <f>+[3]Hoja1!$BE$43</f>
        <v>492.26732112698448</v>
      </c>
      <c r="E43" s="180">
        <f>SUM([5]rdo!E43)</f>
        <v>42262</v>
      </c>
      <c r="F43" s="194">
        <f t="shared" si="4"/>
        <v>-41769.732678873013</v>
      </c>
      <c r="G43" s="182"/>
      <c r="H43" s="183">
        <f>SUM(D43+[2]Hoja1!$I$42)</f>
        <v>1607852.467321127</v>
      </c>
      <c r="I43" s="180">
        <f>SUM(E43+[2]Hoja1!$J$42)</f>
        <v>562745.54601779697</v>
      </c>
      <c r="J43" s="253">
        <f t="shared" si="5"/>
        <v>1045106.92130333</v>
      </c>
      <c r="K43" s="175"/>
      <c r="L43" s="179">
        <f>+D43+[1]COMPRES!$L$43</f>
        <v>255060.60886991347</v>
      </c>
      <c r="M43" s="180">
        <f>+[5]RDOACUM!Z42</f>
        <v>434279.4</v>
      </c>
      <c r="N43" s="196">
        <f>SUM(L43-M43)+1</f>
        <v>-179217.79113008655</v>
      </c>
    </row>
    <row r="44" spans="1:16" x14ac:dyDescent="0.2">
      <c r="A44" s="185" t="s">
        <v>72</v>
      </c>
      <c r="C44" s="187"/>
      <c r="D44" s="179">
        <f>+[3]Hoja1!$BE$44</f>
        <v>28690.402096816135</v>
      </c>
      <c r="E44" s="180">
        <f>SUM([5]rdo!E44)</f>
        <v>69877.210000000006</v>
      </c>
      <c r="F44" s="194">
        <f t="shared" si="4"/>
        <v>-41186.807903183872</v>
      </c>
      <c r="G44" s="182"/>
      <c r="H44" s="183">
        <f>SUM(D44+[2]Hoja1!$I$43)</f>
        <v>240372.70209681612</v>
      </c>
      <c r="I44" s="180">
        <f>SUM(E44+[2]Hoja1!$J$43)</f>
        <v>163774.94088282972</v>
      </c>
      <c r="J44" s="253">
        <f t="shared" si="5"/>
        <v>76597.761213986407</v>
      </c>
      <c r="K44" s="175"/>
      <c r="L44" s="179">
        <f>+D44+[1]COMPRES!$L$44</f>
        <v>559141.11469151487</v>
      </c>
      <c r="M44" s="180">
        <f>+[5]RDOACUM!Z43</f>
        <v>536342.77</v>
      </c>
      <c r="N44" s="196">
        <f t="shared" si="6"/>
        <v>22798.344691514852</v>
      </c>
    </row>
    <row r="45" spans="1:16" ht="15" x14ac:dyDescent="0.25">
      <c r="A45" s="185" t="s">
        <v>73</v>
      </c>
      <c r="C45" s="187"/>
      <c r="D45" s="211">
        <f>+[3]Hoja1!$BE$45</f>
        <v>0</v>
      </c>
      <c r="E45" s="212">
        <f>+[5]rdo!E45</f>
        <v>0</v>
      </c>
      <c r="F45" s="194">
        <f t="shared" si="4"/>
        <v>0</v>
      </c>
      <c r="G45" s="252"/>
      <c r="H45" s="195">
        <f>SUM(D45+[2]Hoja1!$I$44)</f>
        <v>290385.82999999996</v>
      </c>
      <c r="I45" s="212">
        <f>SUM(E45+[2]Hoja1!$J$44)</f>
        <v>169352.92368459678</v>
      </c>
      <c r="J45" s="196">
        <f t="shared" si="5"/>
        <v>121032.90631540318</v>
      </c>
      <c r="K45" s="254"/>
      <c r="L45" s="211">
        <v>0</v>
      </c>
      <c r="M45" s="212">
        <f>+[5]RDOACUM!Z44</f>
        <v>0</v>
      </c>
      <c r="N45" s="196">
        <f t="shared" si="6"/>
        <v>0</v>
      </c>
    </row>
    <row r="46" spans="1:16" x14ac:dyDescent="0.2">
      <c r="A46" s="185" t="s">
        <v>74</v>
      </c>
      <c r="C46" s="187"/>
      <c r="D46" s="179">
        <f>+[3]Hoja1!$BE$46</f>
        <v>0</v>
      </c>
      <c r="E46" s="180">
        <f>SUM([5]rdo!E46)</f>
        <v>27062.560000000001</v>
      </c>
      <c r="F46" s="194">
        <f t="shared" si="4"/>
        <v>-27062.560000000001</v>
      </c>
      <c r="G46" s="182"/>
      <c r="H46" s="183">
        <f>SUM(D46+[2]Hoja1!$I$45)</f>
        <v>0</v>
      </c>
      <c r="I46" s="180">
        <f>SUM(E46+[2]Hoja1!$J$45)</f>
        <v>27062.560000000001</v>
      </c>
      <c r="J46" s="253">
        <f t="shared" si="5"/>
        <v>-27062.560000000001</v>
      </c>
      <c r="K46" s="175"/>
      <c r="L46" s="179">
        <f>+D46+[1]COMPRES!$L$46</f>
        <v>130146.89386682888</v>
      </c>
      <c r="M46" s="180">
        <f>+[5]RDOACUM!Z45</f>
        <v>229228.97</v>
      </c>
      <c r="N46" s="196">
        <f t="shared" si="6"/>
        <v>-99082.076133171126</v>
      </c>
    </row>
    <row r="47" spans="1:16" x14ac:dyDescent="0.2">
      <c r="A47" s="185" t="s">
        <v>75</v>
      </c>
      <c r="C47" s="187"/>
      <c r="D47" s="179">
        <f>+[3]Hoja1!$BE$47</f>
        <v>2655.5285381131589</v>
      </c>
      <c r="E47" s="255">
        <f>SUM([5]rdo!E47)</f>
        <v>81126.11</v>
      </c>
      <c r="F47" s="194">
        <f>SUM(D47-E47)</f>
        <v>-78470.581461886846</v>
      </c>
      <c r="G47" s="182"/>
      <c r="H47" s="183">
        <f>SUM(D47+[2]Hoja1!$I$46)</f>
        <v>150550.52853811317</v>
      </c>
      <c r="I47" s="180">
        <f>SUM(E47+[2]Hoja1!$J$46)</f>
        <v>289842.71819465136</v>
      </c>
      <c r="J47" s="196">
        <f t="shared" si="5"/>
        <v>-139292.18965653819</v>
      </c>
      <c r="K47" s="175"/>
      <c r="L47" s="179">
        <f>+D47+[1]COMPRES!$L$47</f>
        <v>239756.7492220166</v>
      </c>
      <c r="M47" s="180">
        <f>+[5]RDOACUM!Z46</f>
        <v>168660.6</v>
      </c>
      <c r="N47" s="196">
        <f t="shared" si="6"/>
        <v>71096.149222016596</v>
      </c>
    </row>
    <row r="48" spans="1:16" x14ac:dyDescent="0.2">
      <c r="B48" s="167" t="s">
        <v>76</v>
      </c>
      <c r="C48" s="187"/>
      <c r="D48" s="204">
        <f>SUM(D40:D47)</f>
        <v>462108.97566391836</v>
      </c>
      <c r="E48" s="256">
        <f>SUM(E40:E47)</f>
        <v>719104.01</v>
      </c>
      <c r="F48" s="206">
        <f t="shared" si="4"/>
        <v>-256995.03433608165</v>
      </c>
      <c r="G48" s="207"/>
      <c r="H48" s="208">
        <f>SUM(H40:H47)</f>
        <v>656063139.78566396</v>
      </c>
      <c r="I48" s="205">
        <f>SUM(I40:I47)</f>
        <v>-31160432.045815844</v>
      </c>
      <c r="J48" s="209">
        <f t="shared" si="5"/>
        <v>687223571.83147979</v>
      </c>
      <c r="K48" s="175"/>
      <c r="L48" s="204">
        <f>SUM(L40:L47)+1</f>
        <v>6347282.7463658657</v>
      </c>
      <c r="M48" s="256">
        <f>SUM(M40:M47)</f>
        <v>7570471.4999999991</v>
      </c>
      <c r="N48" s="209">
        <f t="shared" si="6"/>
        <v>-1223188.7536341334</v>
      </c>
    </row>
    <row r="49" spans="1:15" x14ac:dyDescent="0.2">
      <c r="C49" s="168" t="s">
        <v>77</v>
      </c>
      <c r="D49" s="257">
        <f>SUM(D48,D39)</f>
        <v>139352626.33563381</v>
      </c>
      <c r="E49" s="256">
        <f>SUM(E48,E39)</f>
        <v>155204572.71000001</v>
      </c>
      <c r="F49" s="206">
        <f t="shared" si="4"/>
        <v>-15851946.374366194</v>
      </c>
      <c r="G49" s="258"/>
      <c r="H49" s="259">
        <f>SUM(H48,H39)</f>
        <v>1447521133.5556338</v>
      </c>
      <c r="I49" s="256">
        <f>SUM(I48,I39)</f>
        <v>90146699.369559869</v>
      </c>
      <c r="J49" s="209">
        <f t="shared" si="5"/>
        <v>1357374434.186074</v>
      </c>
      <c r="K49" s="175"/>
      <c r="L49" s="257">
        <f>SUM(L48,L39)+1</f>
        <v>1184671568.2465656</v>
      </c>
      <c r="M49" s="256">
        <f>SUM(M48,M39)+1</f>
        <v>1214954840.3199997</v>
      </c>
      <c r="N49" s="209">
        <f t="shared" si="6"/>
        <v>-30283272.073434114</v>
      </c>
    </row>
    <row r="50" spans="1:15" x14ac:dyDescent="0.2">
      <c r="A50" s="185" t="s">
        <v>78</v>
      </c>
      <c r="C50" s="187"/>
      <c r="D50" s="287">
        <v>85000</v>
      </c>
      <c r="E50" s="240">
        <f>+[5]IYE!Y51</f>
        <v>0</v>
      </c>
      <c r="F50" s="241">
        <f t="shared" si="4"/>
        <v>85000</v>
      </c>
      <c r="G50" s="252"/>
      <c r="H50" s="242">
        <f>SUM(D50+[2]Hoja1!$I$49)</f>
        <v>655824271.24000001</v>
      </c>
      <c r="I50" s="240">
        <f>SUM(E50+[2]Hoja1!$J$49)</f>
        <v>-31918704.151584148</v>
      </c>
      <c r="J50" s="243">
        <f t="shared" si="5"/>
        <v>687742975.39158416</v>
      </c>
      <c r="K50" s="175"/>
      <c r="L50" s="210">
        <f>+D50+[1]COMPRES!$L$50</f>
        <v>595000</v>
      </c>
      <c r="M50" s="189">
        <f>+[5]IYE!AA51-1</f>
        <v>79772.600000000006</v>
      </c>
      <c r="N50" s="243">
        <f t="shared" si="6"/>
        <v>515227.4</v>
      </c>
    </row>
    <row r="51" spans="1:15" x14ac:dyDescent="0.2">
      <c r="A51" s="185" t="s">
        <v>79</v>
      </c>
      <c r="C51" s="187"/>
      <c r="D51" s="288">
        <v>0</v>
      </c>
      <c r="E51" s="260">
        <f>+[5]IYE!Y52</f>
        <v>3456.7</v>
      </c>
      <c r="F51" s="194">
        <f>SUM(D51-E51)</f>
        <v>-3456.7</v>
      </c>
      <c r="G51" s="252"/>
      <c r="H51" s="195">
        <f>SUM(D51+[2]Hoja1!$I$50)</f>
        <v>168000</v>
      </c>
      <c r="I51" s="180">
        <f>SUM(E51+[2]Hoja1!$J$50)</f>
        <v>39956.699999999997</v>
      </c>
      <c r="J51" s="196">
        <f t="shared" si="5"/>
        <v>128043.3</v>
      </c>
      <c r="K51" s="175"/>
      <c r="L51" s="179">
        <f>+D51+[1]COMPRES!$L$51</f>
        <v>100000</v>
      </c>
      <c r="M51" s="180">
        <f>+[5]IYE!AA52</f>
        <v>153767.64000000001</v>
      </c>
      <c r="N51" s="196">
        <f t="shared" si="6"/>
        <v>-53767.640000000014</v>
      </c>
    </row>
    <row r="52" spans="1:15" x14ac:dyDescent="0.2">
      <c r="A52" s="185" t="s">
        <v>80</v>
      </c>
      <c r="C52" s="187"/>
      <c r="D52" s="288">
        <v>0</v>
      </c>
      <c r="E52" s="260">
        <f>+[5]IYE!Y53</f>
        <v>0</v>
      </c>
      <c r="F52" s="194">
        <f t="shared" si="4"/>
        <v>0</v>
      </c>
      <c r="G52" s="252"/>
      <c r="H52" s="195">
        <f>SUM(D52+[2]Hoja1!$I$51)</f>
        <v>181001.05</v>
      </c>
      <c r="I52" s="212">
        <f>SUM(E52+[2]Hoja1!$J$51)</f>
        <v>358031.95</v>
      </c>
      <c r="J52" s="196">
        <f t="shared" si="5"/>
        <v>-177030.90000000002</v>
      </c>
      <c r="K52" s="175"/>
      <c r="L52" s="179">
        <f>+D52+[1]COMPRES!$L$52</f>
        <v>0</v>
      </c>
      <c r="M52" s="180">
        <f>+[5]IYE!AA53</f>
        <v>0</v>
      </c>
      <c r="N52" s="196">
        <f t="shared" si="6"/>
        <v>0</v>
      </c>
    </row>
    <row r="53" spans="1:15" x14ac:dyDescent="0.2">
      <c r="A53" s="185" t="s">
        <v>81</v>
      </c>
      <c r="C53" s="187"/>
      <c r="D53" s="288">
        <f>1409751+2250000</f>
        <v>3659751</v>
      </c>
      <c r="E53" s="260">
        <f>+[5]IYE!Y54</f>
        <v>1044929.2</v>
      </c>
      <c r="F53" s="194">
        <f t="shared" si="4"/>
        <v>2614821.7999999998</v>
      </c>
      <c r="G53" s="252"/>
      <c r="H53" s="195">
        <f>SUM(D53+[2]Hoja1!$I$52)</f>
        <v>3659751</v>
      </c>
      <c r="I53" s="180">
        <f>SUM(E53+[2]Hoja1!$J$52)</f>
        <v>1044929.2</v>
      </c>
      <c r="J53" s="196">
        <f t="shared" si="5"/>
        <v>2614821.7999999998</v>
      </c>
      <c r="K53" s="175"/>
      <c r="L53" s="179">
        <f>+D53+[1]COMPRES!$L$53</f>
        <v>31007510</v>
      </c>
      <c r="M53" s="180">
        <f>+[5]IYE!AA54</f>
        <v>31592082.41</v>
      </c>
      <c r="N53" s="196">
        <f t="shared" si="6"/>
        <v>-584572.41000000015</v>
      </c>
    </row>
    <row r="54" spans="1:15" x14ac:dyDescent="0.2">
      <c r="A54" s="185" t="s">
        <v>84</v>
      </c>
      <c r="C54" s="187"/>
      <c r="D54" s="288">
        <f>2600000-2250000+100000-400000</f>
        <v>50000</v>
      </c>
      <c r="E54" s="260">
        <f>+[5]IYE!Y55</f>
        <v>0</v>
      </c>
      <c r="F54" s="194">
        <f>SUM(D54-E54)</f>
        <v>50000</v>
      </c>
      <c r="G54" s="252"/>
      <c r="H54" s="195">
        <f>SUM(D54+[2]Hoja1!$I$53)</f>
        <v>23763675.899999999</v>
      </c>
      <c r="I54" s="180">
        <f>SUM(E54+[2]Hoja1!$J$53)</f>
        <v>-4676884.8999999985</v>
      </c>
      <c r="J54" s="196">
        <f t="shared" si="5"/>
        <v>28440560.799999997</v>
      </c>
      <c r="K54" s="175"/>
      <c r="L54" s="179">
        <f>+D54+[1]COMPRES!$L$54</f>
        <v>5450000</v>
      </c>
      <c r="M54" s="180">
        <f>+[5]IYE!AA55</f>
        <v>4029125.4299999997</v>
      </c>
      <c r="N54" s="196">
        <f t="shared" si="6"/>
        <v>1420874.5700000003</v>
      </c>
      <c r="O54" s="217"/>
    </row>
    <row r="55" spans="1:15" x14ac:dyDescent="0.2">
      <c r="A55" s="185" t="s">
        <v>85</v>
      </c>
      <c r="C55" s="187"/>
      <c r="D55" s="288">
        <f>750000-100000</f>
        <v>650000</v>
      </c>
      <c r="E55" s="260">
        <f>+[5]IYE!Y56</f>
        <v>952464.04</v>
      </c>
      <c r="F55" s="194">
        <f t="shared" si="4"/>
        <v>-302464.04000000004</v>
      </c>
      <c r="G55" s="252"/>
      <c r="H55" s="195">
        <f>SUM(D55+[2]Hoja1!$I$54)</f>
        <v>666195</v>
      </c>
      <c r="I55" s="180">
        <f>SUM(E55+[2]Hoja1!$J$54)</f>
        <v>1287601.04</v>
      </c>
      <c r="J55" s="196">
        <f t="shared" si="5"/>
        <v>-621406.04</v>
      </c>
      <c r="K55" s="175"/>
      <c r="L55" s="179">
        <f>+D55+[1]COMPRES!$L$55</f>
        <v>11100000</v>
      </c>
      <c r="M55" s="180">
        <f>+[5]IYE!AA56</f>
        <v>10796488.380000001</v>
      </c>
      <c r="N55" s="196">
        <f t="shared" si="6"/>
        <v>303511.61999999918</v>
      </c>
    </row>
    <row r="56" spans="1:15" x14ac:dyDescent="0.2">
      <c r="A56" s="185" t="s">
        <v>86</v>
      </c>
      <c r="C56" s="187"/>
      <c r="D56" s="288">
        <v>400000</v>
      </c>
      <c r="E56" s="260">
        <f>+[5]IYE!Y57</f>
        <v>513996.98</v>
      </c>
      <c r="F56" s="194">
        <f t="shared" si="4"/>
        <v>-113996.97999999998</v>
      </c>
      <c r="G56" s="252"/>
      <c r="H56" s="195">
        <f>SUM(D56+[2]Hoja1!$I$55)</f>
        <v>2146494.88</v>
      </c>
      <c r="I56" s="180">
        <f>SUM(E56+[2]Hoja1!$J$55)</f>
        <v>1663608.5500000003</v>
      </c>
      <c r="J56" s="196">
        <f t="shared" si="5"/>
        <v>482886.32999999961</v>
      </c>
      <c r="K56" s="175"/>
      <c r="L56" s="179">
        <f>+D56+[1]COMPRES!$L$56</f>
        <v>4639751</v>
      </c>
      <c r="M56" s="180">
        <f>+[5]IYE!AA57</f>
        <v>4742627.47</v>
      </c>
      <c r="N56" s="196">
        <f t="shared" si="6"/>
        <v>-102876.46999999974</v>
      </c>
    </row>
    <row r="57" spans="1:15" x14ac:dyDescent="0.2">
      <c r="A57" s="185" t="s">
        <v>87</v>
      </c>
      <c r="C57" s="187"/>
      <c r="D57" s="288">
        <v>100000</v>
      </c>
      <c r="E57" s="260">
        <f>+[5]IYE!Y58</f>
        <v>479792</v>
      </c>
      <c r="F57" s="194">
        <f t="shared" si="4"/>
        <v>-379792</v>
      </c>
      <c r="G57" s="252"/>
      <c r="H57" s="195">
        <f>SUM(D57+[2]Hoja1!$I$56)</f>
        <v>4312298.28</v>
      </c>
      <c r="I57" s="180">
        <f>SUM(E57+[2]Hoja1!$J$56)</f>
        <v>461881.26999999955</v>
      </c>
      <c r="J57" s="196">
        <f t="shared" si="5"/>
        <v>3850417.0100000007</v>
      </c>
      <c r="K57" s="175"/>
      <c r="L57" s="179">
        <f>+D57+[1]COMPRES!$L$57</f>
        <v>3700000</v>
      </c>
      <c r="M57" s="180">
        <f>+[5]IYE!AA58</f>
        <v>2831495</v>
      </c>
      <c r="N57" s="196">
        <f t="shared" si="6"/>
        <v>868505</v>
      </c>
    </row>
    <row r="58" spans="1:15" x14ac:dyDescent="0.2">
      <c r="A58" s="185" t="s">
        <v>88</v>
      </c>
      <c r="C58" s="187"/>
      <c r="D58" s="288">
        <f>310000+250000</f>
        <v>560000</v>
      </c>
      <c r="E58" s="260">
        <f>+[5]IYE!Y59</f>
        <v>492565.15</v>
      </c>
      <c r="F58" s="194">
        <f t="shared" si="4"/>
        <v>67434.849999999977</v>
      </c>
      <c r="G58" s="252"/>
      <c r="H58" s="195">
        <f>SUM(D58+[2]Hoja1!$I$57)</f>
        <v>1768098</v>
      </c>
      <c r="I58" s="180">
        <f>SUM(E58+[2]Hoja1!$J$57)</f>
        <v>3443158.34</v>
      </c>
      <c r="J58" s="196">
        <f t="shared" si="5"/>
        <v>-1675060.3399999999</v>
      </c>
      <c r="K58" s="175"/>
      <c r="L58" s="179">
        <f>+D58+[1]COMPRES!$L$58</f>
        <v>6040000</v>
      </c>
      <c r="M58" s="180">
        <f>+[5]IYE!AA59-1</f>
        <v>6784042.8200000003</v>
      </c>
      <c r="N58" s="196">
        <f t="shared" si="6"/>
        <v>-744042.8200000003</v>
      </c>
    </row>
    <row r="59" spans="1:15" x14ac:dyDescent="0.2">
      <c r="A59" s="185" t="s">
        <v>89</v>
      </c>
      <c r="C59" s="187"/>
      <c r="D59" s="288">
        <v>85000</v>
      </c>
      <c r="E59" s="260">
        <f>+[5]IYE!Y60</f>
        <v>0</v>
      </c>
      <c r="F59" s="194">
        <f t="shared" si="4"/>
        <v>85000</v>
      </c>
      <c r="G59" s="252"/>
      <c r="H59" s="195">
        <f>SUM(D59+[2]Hoja1!$I$58)</f>
        <v>-463545.14000000013</v>
      </c>
      <c r="I59" s="212">
        <f>SUM(E59+[2]Hoja1!$J$58)</f>
        <v>2881176.21</v>
      </c>
      <c r="J59" s="196">
        <f t="shared" si="5"/>
        <v>-3344721.35</v>
      </c>
      <c r="K59" s="175"/>
      <c r="L59" s="179">
        <f>+D59+[1]COMPRES!$L$59</f>
        <v>605000</v>
      </c>
      <c r="M59" s="180">
        <f>+[5]IYE!AA60-1</f>
        <v>236893</v>
      </c>
      <c r="N59" s="196">
        <f t="shared" si="6"/>
        <v>368107</v>
      </c>
    </row>
    <row r="60" spans="1:15" x14ac:dyDescent="0.2">
      <c r="A60" s="185" t="s">
        <v>90</v>
      </c>
      <c r="C60" s="187"/>
      <c r="D60" s="288">
        <v>0</v>
      </c>
      <c r="E60" s="260">
        <f>+[5]IYE!Y61</f>
        <v>0</v>
      </c>
      <c r="F60" s="194">
        <f t="shared" si="4"/>
        <v>0</v>
      </c>
      <c r="G60" s="252"/>
      <c r="H60" s="195"/>
      <c r="I60" s="212"/>
      <c r="J60" s="196"/>
      <c r="K60" s="175"/>
      <c r="L60" s="179">
        <f>+D60+[1]COMPRES!$L$60</f>
        <v>0</v>
      </c>
      <c r="M60" s="180">
        <f>+[5]IYE!AA61</f>
        <v>0</v>
      </c>
      <c r="N60" s="196"/>
    </row>
    <row r="61" spans="1:15" x14ac:dyDescent="0.2">
      <c r="B61" s="167" t="s">
        <v>91</v>
      </c>
      <c r="C61" s="187"/>
      <c r="D61" s="261">
        <f>SUM(D50:D60)</f>
        <v>5589751</v>
      </c>
      <c r="E61" s="262">
        <f>SUM(E50:E60)</f>
        <v>3487204.07</v>
      </c>
      <c r="F61" s="206">
        <f t="shared" si="4"/>
        <v>2102546.9300000002</v>
      </c>
      <c r="G61" s="207"/>
      <c r="H61" s="263">
        <f>SUM(H50:H59)</f>
        <v>692026240.20999992</v>
      </c>
      <c r="I61" s="262">
        <f>SUM(I50:I59)</f>
        <v>-25415245.791584145</v>
      </c>
      <c r="J61" s="209">
        <f>SUM(J50:J59)</f>
        <v>717441486.00158405</v>
      </c>
      <c r="K61" s="175"/>
      <c r="L61" s="261">
        <f>SUM(L50:L60)</f>
        <v>63237261</v>
      </c>
      <c r="M61" s="262">
        <f>SUM(M50:M60)-1</f>
        <v>61246293.75</v>
      </c>
      <c r="N61" s="209">
        <f t="shared" si="6"/>
        <v>1990967.25</v>
      </c>
    </row>
    <row r="62" spans="1:15" x14ac:dyDescent="0.2">
      <c r="C62" s="168" t="s">
        <v>92</v>
      </c>
      <c r="D62" s="264">
        <f>SUM(D49+D61)</f>
        <v>144942377.33563381</v>
      </c>
      <c r="E62" s="265">
        <f>SUM(E49+E61)</f>
        <v>158691776.78</v>
      </c>
      <c r="F62" s="222">
        <f t="shared" si="4"/>
        <v>-13749399.444366187</v>
      </c>
      <c r="G62" s="223"/>
      <c r="H62" s="266">
        <f>SUM(H49+H61)</f>
        <v>2139547373.7656336</v>
      </c>
      <c r="I62" s="265">
        <f>SUM(I49+I61)</f>
        <v>64731453.57797572</v>
      </c>
      <c r="J62" s="267">
        <f>SUM(J49+J61)</f>
        <v>2074815920.1876581</v>
      </c>
      <c r="K62" s="175"/>
      <c r="L62" s="264">
        <f>SUM(L49+L61)</f>
        <v>1247908829.2465656</v>
      </c>
      <c r="M62" s="265">
        <f>SUM(M49+M61)</f>
        <v>1276201134.0699997</v>
      </c>
      <c r="N62" s="268">
        <f t="shared" si="6"/>
        <v>-28292304.823434114</v>
      </c>
    </row>
    <row r="63" spans="1:15" x14ac:dyDescent="0.2">
      <c r="A63" s="235" t="s">
        <v>93</v>
      </c>
      <c r="C63" s="168"/>
      <c r="D63" s="179"/>
      <c r="E63" s="236"/>
      <c r="F63" s="181"/>
      <c r="G63" s="182"/>
      <c r="H63" s="179"/>
      <c r="I63" s="236"/>
      <c r="J63" s="181"/>
      <c r="K63" s="175"/>
      <c r="L63" s="179"/>
      <c r="M63" s="236"/>
      <c r="N63" s="181"/>
    </row>
    <row r="64" spans="1:15" x14ac:dyDescent="0.2">
      <c r="A64" s="185" t="s">
        <v>50</v>
      </c>
      <c r="C64" s="168"/>
      <c r="D64" s="210">
        <f t="shared" ref="D64:D69" si="7">+E64</f>
        <v>232400</v>
      </c>
      <c r="E64" s="189">
        <f>SUM([5]rdo!E52)</f>
        <v>232400</v>
      </c>
      <c r="F64" s="190">
        <f t="shared" si="4"/>
        <v>0</v>
      </c>
      <c r="G64" s="182"/>
      <c r="H64" s="210">
        <f>SUM(D64+[2]Hoja1!$I$61)</f>
        <v>30797946.969999999</v>
      </c>
      <c r="I64" s="189">
        <f>SUM(E64+[2]Hoja1!$J$61)</f>
        <v>3498612.2900000014</v>
      </c>
      <c r="J64" s="190">
        <f t="shared" si="5"/>
        <v>27299334.679999996</v>
      </c>
      <c r="K64" s="175"/>
      <c r="L64" s="210">
        <f t="shared" ref="L64:L69" si="8">+M64</f>
        <v>1408492</v>
      </c>
      <c r="M64" s="189">
        <f>+[5]RDOACUM!Z51</f>
        <v>1408492</v>
      </c>
      <c r="N64" s="190">
        <f t="shared" ref="N64:N73" si="9">SUM(L64-M64)</f>
        <v>0</v>
      </c>
    </row>
    <row r="65" spans="1:14" x14ac:dyDescent="0.2">
      <c r="A65" s="185" t="s">
        <v>53</v>
      </c>
      <c r="C65" s="168"/>
      <c r="D65" s="211">
        <f t="shared" si="7"/>
        <v>1802401.91</v>
      </c>
      <c r="E65" s="212">
        <f>SUM([5]rdo!E53)</f>
        <v>1802401.91</v>
      </c>
      <c r="F65" s="194">
        <f t="shared" si="4"/>
        <v>0</v>
      </c>
      <c r="G65" s="182"/>
      <c r="H65" s="211">
        <f>SUM(D65+[2]Hoja1!$I$63)</f>
        <v>10326781.91</v>
      </c>
      <c r="I65" s="180">
        <f>SUM(E65+[2]Hoja1!$J$63)</f>
        <v>10324262.91</v>
      </c>
      <c r="J65" s="194">
        <f t="shared" si="5"/>
        <v>2519</v>
      </c>
      <c r="K65" s="175"/>
      <c r="L65" s="269">
        <f t="shared" si="8"/>
        <v>14424153.469999999</v>
      </c>
      <c r="M65" s="180">
        <f>+[5]IYE!AA67</f>
        <v>14424153.469999999</v>
      </c>
      <c r="N65" s="194">
        <f t="shared" si="9"/>
        <v>0</v>
      </c>
    </row>
    <row r="66" spans="1:14" x14ac:dyDescent="0.2">
      <c r="A66" s="185" t="s">
        <v>94</v>
      </c>
      <c r="C66" s="168"/>
      <c r="D66" s="211">
        <f t="shared" si="7"/>
        <v>2196315.79</v>
      </c>
      <c r="E66" s="212">
        <f>SUM([5]rdo!E54)</f>
        <v>2196315.79</v>
      </c>
      <c r="F66" s="194">
        <f t="shared" si="4"/>
        <v>0</v>
      </c>
      <c r="G66" s="182"/>
      <c r="H66" s="211" t="e">
        <f>SUM(D66+[2]Hoja1!$I$64)</f>
        <v>#REF!</v>
      </c>
      <c r="I66" s="180" t="e">
        <f>SUM(E66+[2]Hoja1!$J$64)</f>
        <v>#REF!</v>
      </c>
      <c r="J66" s="194" t="e">
        <f t="shared" si="5"/>
        <v>#REF!</v>
      </c>
      <c r="K66" s="175"/>
      <c r="L66" s="269">
        <f t="shared" si="8"/>
        <v>10270197.720000003</v>
      </c>
      <c r="M66" s="180">
        <f>+[5]RDOACUM!Z53</f>
        <v>10270197.720000003</v>
      </c>
      <c r="N66" s="194">
        <f t="shared" si="9"/>
        <v>0</v>
      </c>
    </row>
    <row r="67" spans="1:14" x14ac:dyDescent="0.2">
      <c r="A67" s="185" t="s">
        <v>60</v>
      </c>
      <c r="C67" s="168"/>
      <c r="D67" s="211">
        <f t="shared" si="7"/>
        <v>482161.14</v>
      </c>
      <c r="E67" s="212">
        <f>SUM([5]rdo!E55)</f>
        <v>482161.14</v>
      </c>
      <c r="F67" s="194">
        <f t="shared" si="4"/>
        <v>0</v>
      </c>
      <c r="G67" s="182"/>
      <c r="H67" s="211">
        <f>SUM(D67+[2]Hoja1!$I$65)</f>
        <v>10988886.710000001</v>
      </c>
      <c r="I67" s="180">
        <f>SUM(E67+[2]Hoja1!$J$65)</f>
        <v>484680.14</v>
      </c>
      <c r="J67" s="194">
        <f t="shared" si="5"/>
        <v>10504206.57</v>
      </c>
      <c r="K67" s="175"/>
      <c r="L67" s="269">
        <f t="shared" si="8"/>
        <v>3930605.77</v>
      </c>
      <c r="M67" s="180">
        <f>+[5]RDOACUM!Z54</f>
        <v>3930605.77</v>
      </c>
      <c r="N67" s="194">
        <f t="shared" si="9"/>
        <v>0</v>
      </c>
    </row>
    <row r="68" spans="1:14" x14ac:dyDescent="0.2">
      <c r="A68" s="185" t="s">
        <v>95</v>
      </c>
      <c r="C68" s="168"/>
      <c r="D68" s="211">
        <f t="shared" si="7"/>
        <v>0</v>
      </c>
      <c r="E68" s="212">
        <f>SUM([5]rdo!E56)</f>
        <v>0</v>
      </c>
      <c r="F68" s="194">
        <f t="shared" si="4"/>
        <v>0</v>
      </c>
      <c r="G68" s="182"/>
      <c r="H68" s="211">
        <f>SUM(D68+[2]Hoja1!$I$66)</f>
        <v>10183033.52</v>
      </c>
      <c r="I68" s="180">
        <f>SUM(E68+[2]Hoja1!$J$66)</f>
        <v>59</v>
      </c>
      <c r="J68" s="194">
        <f t="shared" si="5"/>
        <v>10182974.52</v>
      </c>
      <c r="K68" s="175"/>
      <c r="L68" s="197">
        <f t="shared" si="8"/>
        <v>0</v>
      </c>
      <c r="M68" s="198">
        <f>+[5]RDOACUM!Z55</f>
        <v>0</v>
      </c>
      <c r="N68" s="194">
        <f t="shared" si="9"/>
        <v>0</v>
      </c>
    </row>
    <row r="69" spans="1:14" x14ac:dyDescent="0.2">
      <c r="A69" s="185" t="s">
        <v>63</v>
      </c>
      <c r="C69" s="168"/>
      <c r="D69" s="211">
        <f t="shared" si="7"/>
        <v>932148.66</v>
      </c>
      <c r="E69" s="212">
        <f>SUM([5]rdo!E57)</f>
        <v>932148.66</v>
      </c>
      <c r="F69" s="194">
        <f t="shared" si="4"/>
        <v>0</v>
      </c>
      <c r="G69" s="182"/>
      <c r="H69" s="211">
        <f>SUM(D69+[2]Hoja1!$I$67)</f>
        <v>1935466.87</v>
      </c>
      <c r="I69" s="180">
        <f>SUM(E69+[2]Hoja1!$J$67)</f>
        <v>932310.66</v>
      </c>
      <c r="J69" s="194">
        <f t="shared" si="5"/>
        <v>1003156.2100000001</v>
      </c>
      <c r="K69" s="175"/>
      <c r="L69" s="269">
        <f t="shared" si="8"/>
        <v>7541704.7699999996</v>
      </c>
      <c r="M69" s="180">
        <f>+[5]RDOACUM!Z56</f>
        <v>7541704.7699999996</v>
      </c>
      <c r="N69" s="194">
        <f t="shared" si="9"/>
        <v>0</v>
      </c>
    </row>
    <row r="70" spans="1:14" x14ac:dyDescent="0.2">
      <c r="B70" s="167" t="s">
        <v>96</v>
      </c>
      <c r="C70" s="168"/>
      <c r="D70" s="270">
        <f>SUM(D64:D69)</f>
        <v>5645427.5</v>
      </c>
      <c r="E70" s="271">
        <f>SUM(E64:E69)</f>
        <v>5645427.5</v>
      </c>
      <c r="F70" s="272">
        <f t="shared" si="4"/>
        <v>0</v>
      </c>
      <c r="G70" s="207"/>
      <c r="H70" s="273" t="e">
        <f>SUM(H64:H69)</f>
        <v>#REF!</v>
      </c>
      <c r="I70" s="271" t="e">
        <f>SUM(I64:I69)</f>
        <v>#REF!</v>
      </c>
      <c r="J70" s="274" t="e">
        <f t="shared" si="5"/>
        <v>#REF!</v>
      </c>
      <c r="K70" s="175"/>
      <c r="L70" s="270">
        <f>SUM(L64:L69)</f>
        <v>37575153.730000004</v>
      </c>
      <c r="M70" s="271">
        <f>SUM(M64:M69)</f>
        <v>37575153.730000004</v>
      </c>
      <c r="N70" s="274">
        <f t="shared" si="9"/>
        <v>0</v>
      </c>
    </row>
    <row r="71" spans="1:14" x14ac:dyDescent="0.2">
      <c r="A71" s="185" t="s">
        <v>81</v>
      </c>
      <c r="B71" s="167"/>
      <c r="C71" s="168"/>
      <c r="D71" s="210">
        <f>+E71</f>
        <v>0</v>
      </c>
      <c r="E71" s="189">
        <f>+[5]IYE!Y73</f>
        <v>0</v>
      </c>
      <c r="F71" s="190">
        <f t="shared" si="4"/>
        <v>0</v>
      </c>
      <c r="G71" s="182"/>
      <c r="H71" s="210">
        <f>SUM(D71+[2]Hoja1!$I$69)</f>
        <v>6363922.6299999999</v>
      </c>
      <c r="I71" s="189">
        <f>SUM(E71+[2]Hoja1!$J$69)</f>
        <v>118</v>
      </c>
      <c r="J71" s="190">
        <f>SUM(H71-I71)</f>
        <v>6363804.6299999999</v>
      </c>
      <c r="K71" s="175"/>
      <c r="L71" s="210">
        <f>+M71</f>
        <v>5370168</v>
      </c>
      <c r="M71" s="189">
        <f>+[5]IYE!AA73</f>
        <v>5370168</v>
      </c>
      <c r="N71" s="190">
        <f t="shared" si="9"/>
        <v>0</v>
      </c>
    </row>
    <row r="72" spans="1:14" x14ac:dyDescent="0.2">
      <c r="A72" s="185" t="s">
        <v>97</v>
      </c>
      <c r="C72" s="168"/>
      <c r="D72" s="211">
        <f>+E72</f>
        <v>1486113.15</v>
      </c>
      <c r="E72" s="212">
        <f>+[5]IYE!Y74</f>
        <v>1486113.15</v>
      </c>
      <c r="F72" s="194">
        <f t="shared" si="4"/>
        <v>0</v>
      </c>
      <c r="G72" s="182"/>
      <c r="H72" s="195" t="e">
        <f>SUM(D72+[2]Hoja1!$I$70)</f>
        <v>#REF!</v>
      </c>
      <c r="I72" s="180" t="e">
        <f>SUM(E72+[2]Hoja1!$J$70)</f>
        <v>#REF!</v>
      </c>
      <c r="J72" s="196" t="e">
        <f t="shared" si="5"/>
        <v>#REF!</v>
      </c>
      <c r="K72" s="175"/>
      <c r="L72" s="269">
        <f>+M72</f>
        <v>21976831.739999998</v>
      </c>
      <c r="M72" s="180">
        <f>+[5]IYE!AA74</f>
        <v>21976831.739999998</v>
      </c>
      <c r="N72" s="196">
        <f t="shared" si="9"/>
        <v>0</v>
      </c>
    </row>
    <row r="73" spans="1:14" x14ac:dyDescent="0.2">
      <c r="A73" s="185" t="s">
        <v>98</v>
      </c>
      <c r="C73" s="168"/>
      <c r="D73" s="211">
        <f>+E73</f>
        <v>0</v>
      </c>
      <c r="E73" s="212">
        <f>+[5]IYE!Y75</f>
        <v>0</v>
      </c>
      <c r="F73" s="194">
        <f t="shared" si="4"/>
        <v>0</v>
      </c>
      <c r="G73" s="182"/>
      <c r="H73" s="195">
        <f>SUM(D73+[2]Hoja1!$I$71)</f>
        <v>58016772.629999995</v>
      </c>
      <c r="I73" s="198">
        <f>SUM(E73+[2]Hoja1!$J$71)</f>
        <v>70</v>
      </c>
      <c r="J73" s="196">
        <f t="shared" si="5"/>
        <v>58016702.629999995</v>
      </c>
      <c r="K73" s="175"/>
      <c r="L73" s="197">
        <f>+M73</f>
        <v>0</v>
      </c>
      <c r="M73" s="198">
        <f>+[5]IYE!AA75</f>
        <v>0</v>
      </c>
      <c r="N73" s="196">
        <f t="shared" si="9"/>
        <v>0</v>
      </c>
    </row>
    <row r="74" spans="1:14" x14ac:dyDescent="0.2">
      <c r="B74" s="167" t="s">
        <v>99</v>
      </c>
      <c r="C74" s="187"/>
      <c r="D74" s="270">
        <f>SUM(D71:D73)</f>
        <v>1486113.15</v>
      </c>
      <c r="E74" s="271">
        <f>SUM(E71:E73)</f>
        <v>1486113.15</v>
      </c>
      <c r="F74" s="272">
        <f>SUM(F71:F73)</f>
        <v>0</v>
      </c>
      <c r="G74" s="207"/>
      <c r="H74" s="273" t="e">
        <f>SUM(H71:H73)</f>
        <v>#REF!</v>
      </c>
      <c r="I74" s="271" t="e">
        <f>SUM(I71:I73)</f>
        <v>#REF!</v>
      </c>
      <c r="J74" s="274" t="e">
        <f t="shared" si="5"/>
        <v>#REF!</v>
      </c>
      <c r="K74" s="175"/>
      <c r="L74" s="270">
        <f>SUM(L71:L73)</f>
        <v>27346999.739999998</v>
      </c>
      <c r="M74" s="271">
        <f>SUM(M71:M73)</f>
        <v>27346999.739999998</v>
      </c>
      <c r="N74" s="274">
        <f>SUM(N71:N73)</f>
        <v>0</v>
      </c>
    </row>
    <row r="75" spans="1:14" x14ac:dyDescent="0.2">
      <c r="B75" s="167"/>
      <c r="C75" s="168" t="s">
        <v>100</v>
      </c>
      <c r="D75" s="220">
        <f>SUM(D74,D70)</f>
        <v>7131540.6500000004</v>
      </c>
      <c r="E75" s="224">
        <f>SUM(E74,E70)</f>
        <v>7131540.6500000004</v>
      </c>
      <c r="F75" s="222">
        <f t="shared" si="4"/>
        <v>0</v>
      </c>
      <c r="G75" s="223"/>
      <c r="H75" s="224" t="e">
        <f>SUM(H74,H70)</f>
        <v>#REF!</v>
      </c>
      <c r="I75" s="224" t="e">
        <f>SUM(I74,I70)</f>
        <v>#REF!</v>
      </c>
      <c r="J75" s="225" t="e">
        <f t="shared" si="5"/>
        <v>#REF!</v>
      </c>
      <c r="K75" s="175"/>
      <c r="L75" s="220">
        <f>SUM(L74,L70)+1</f>
        <v>64922154.469999999</v>
      </c>
      <c r="M75" s="224">
        <f>SUM(M74,M70)+1</f>
        <v>64922154.469999999</v>
      </c>
      <c r="N75" s="225">
        <f>SUM(L75-M75)</f>
        <v>0</v>
      </c>
    </row>
    <row r="76" spans="1:14" x14ac:dyDescent="0.2">
      <c r="C76" s="187"/>
      <c r="D76" s="179"/>
      <c r="E76" s="180"/>
      <c r="F76" s="181"/>
      <c r="G76" s="182"/>
      <c r="H76" s="183"/>
      <c r="I76" s="180"/>
      <c r="J76" s="184"/>
      <c r="K76" s="175"/>
      <c r="L76" s="179"/>
      <c r="M76" s="180"/>
      <c r="N76" s="184"/>
    </row>
    <row r="77" spans="1:14" x14ac:dyDescent="0.2">
      <c r="C77" s="168" t="s">
        <v>101</v>
      </c>
      <c r="D77" s="220">
        <f>SUM(D62+D75)</f>
        <v>152073917.98563382</v>
      </c>
      <c r="E77" s="221">
        <f>SUM(E62+E75)</f>
        <v>165823317.43000001</v>
      </c>
      <c r="F77" s="222">
        <f>SUM(F62+F75)</f>
        <v>-13749399.444366187</v>
      </c>
      <c r="G77" s="182"/>
      <c r="H77" s="224" t="e">
        <f>SUM(H62+H75)</f>
        <v>#REF!</v>
      </c>
      <c r="I77" s="221" t="e">
        <f>SUM(I62+I75)</f>
        <v>#REF!</v>
      </c>
      <c r="J77" s="268" t="e">
        <f>SUM(J62+J75)</f>
        <v>#REF!</v>
      </c>
      <c r="K77" s="175"/>
      <c r="L77" s="289">
        <f>SUM(L62+L75)-1</f>
        <v>1312830982.7165656</v>
      </c>
      <c r="M77" s="290">
        <f>SUM(M62+M75)-1</f>
        <v>1341123287.5399997</v>
      </c>
      <c r="N77" s="268">
        <f>SUM(N62+N75)</f>
        <v>-28292304.823434114</v>
      </c>
    </row>
    <row r="78" spans="1:14" ht="13.5" thickBot="1" x14ac:dyDescent="0.25">
      <c r="A78" s="275" t="s">
        <v>102</v>
      </c>
      <c r="B78" s="276"/>
      <c r="C78" s="277"/>
      <c r="D78" s="278"/>
      <c r="E78" s="279">
        <f>+E30-E77</f>
        <v>44393428.300000012</v>
      </c>
      <c r="F78" s="280"/>
      <c r="G78" s="281"/>
      <c r="H78" s="282"/>
      <c r="I78" s="283" t="e">
        <f>SUM(I30-I77)</f>
        <v>#REF!</v>
      </c>
      <c r="J78" s="284"/>
      <c r="K78" s="285"/>
      <c r="L78" s="278"/>
      <c r="M78" s="279">
        <f>+M30-M77-1</f>
        <v>151876229.56000018</v>
      </c>
      <c r="N78" s="284"/>
    </row>
    <row r="79" spans="1:14" x14ac:dyDescent="0.2">
      <c r="A79" s="286"/>
      <c r="B79" s="148"/>
      <c r="C79" s="148"/>
    </row>
    <row r="80" spans="1:14" x14ac:dyDescent="0.2">
      <c r="A80" s="286"/>
      <c r="B80" s="286"/>
      <c r="C80" s="286"/>
    </row>
    <row r="81" spans="1:12" x14ac:dyDescent="0.2">
      <c r="A81" s="148"/>
      <c r="B81" s="286"/>
      <c r="C81" s="286"/>
    </row>
    <row r="82" spans="1:12" ht="15" x14ac:dyDescent="0.25">
      <c r="L82" s="213"/>
    </row>
    <row r="83" spans="1:12" ht="15" x14ac:dyDescent="0.25">
      <c r="L83" s="213"/>
    </row>
  </sheetData>
  <mergeCells count="5">
    <mergeCell ref="A1:N1"/>
    <mergeCell ref="A2:N2"/>
    <mergeCell ref="A3:N3"/>
    <mergeCell ref="D5:F5"/>
    <mergeCell ref="L5:N5"/>
  </mergeCells>
  <pageMargins left="0.75" right="0.75" top="0.71" bottom="0.75" header="0" footer="0"/>
  <pageSetup scale="69" orientation="portrait" r:id="rId1"/>
  <headerFooter alignWithMargins="0"/>
  <ignoredErrors>
    <ignoredError sqref="D11 F74 L7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4"/>
  <sheetViews>
    <sheetView tabSelected="1" topLeftCell="A40" zoomScale="90" zoomScaleNormal="90" workbookViewId="0">
      <selection activeCell="R40" sqref="R40"/>
    </sheetView>
  </sheetViews>
  <sheetFormatPr baseColWidth="10" defaultColWidth="11.42578125" defaultRowHeight="12" x14ac:dyDescent="0.2"/>
  <cols>
    <col min="1" max="1" width="1.7109375" style="39" customWidth="1"/>
    <col min="2" max="2" width="2" style="40" customWidth="1"/>
    <col min="3" max="3" width="34" style="40" customWidth="1"/>
    <col min="4" max="5" width="16.85546875" style="40" hidden="1" customWidth="1"/>
    <col min="6" max="6" width="13.85546875" style="40" hidden="1" customWidth="1"/>
    <col min="7" max="7" width="5.7109375" style="40" hidden="1" customWidth="1"/>
    <col min="8" max="8" width="14.85546875" style="40" hidden="1" customWidth="1"/>
    <col min="9" max="9" width="13.28515625" style="40" hidden="1" customWidth="1"/>
    <col min="10" max="10" width="14.85546875" style="41" hidden="1" customWidth="1"/>
    <col min="11" max="11" width="4.42578125" style="146" hidden="1" customWidth="1"/>
    <col min="12" max="13" width="18.85546875" style="1" bestFit="1" customWidth="1"/>
    <col min="14" max="14" width="14.7109375" style="1" customWidth="1"/>
    <col min="15" max="15" width="3" style="1" bestFit="1" customWidth="1"/>
    <col min="16" max="16" width="9.5703125" style="1" customWidth="1"/>
    <col min="17" max="18" width="11.42578125" style="1"/>
    <col min="19" max="19" width="14.5703125" style="1" bestFit="1" customWidth="1"/>
    <col min="20" max="16384" width="11.42578125" style="1"/>
  </cols>
  <sheetData>
    <row r="1" spans="1:33" x14ac:dyDescent="0.2">
      <c r="A1" s="300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2"/>
      <c r="O1" s="2"/>
    </row>
    <row r="2" spans="1:33" x14ac:dyDescent="0.2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2.75" thickBot="1" x14ac:dyDescent="0.25">
      <c r="A3" s="303" t="s">
        <v>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5"/>
      <c r="O3" s="3"/>
      <c r="P3" s="3"/>
      <c r="Q3" s="3"/>
      <c r="R3" s="3"/>
      <c r="S3" s="3">
        <v>374656089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2.75" thickBot="1" x14ac:dyDescent="0.25">
      <c r="A4" s="4"/>
      <c r="B4" s="5"/>
      <c r="C4" s="5"/>
      <c r="D4" s="6"/>
      <c r="E4" s="6"/>
      <c r="F4" s="7"/>
      <c r="G4" s="8"/>
      <c r="H4" s="9"/>
      <c r="I4" s="10"/>
      <c r="J4" s="11"/>
      <c r="K4" s="12"/>
      <c r="L4" s="6"/>
      <c r="M4" s="6"/>
      <c r="N4" s="7"/>
      <c r="O4" s="3"/>
      <c r="P4" s="3"/>
      <c r="Q4" s="3"/>
      <c r="R4" s="3"/>
      <c r="S4" s="3">
        <f>[7]Subsidios!$D$83+[7]Subsidios!$D$84+[7]Subsidios!$D$92</f>
        <v>36982135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2.75" thickBot="1" x14ac:dyDescent="0.25">
      <c r="A5" s="13"/>
      <c r="B5" s="14"/>
      <c r="C5" s="15"/>
      <c r="D5" s="306" t="s">
        <v>3</v>
      </c>
      <c r="E5" s="307"/>
      <c r="F5" s="308"/>
      <c r="G5" s="16">
        <v>0</v>
      </c>
      <c r="H5" s="17" t="s">
        <v>4</v>
      </c>
      <c r="I5" s="18"/>
      <c r="J5" s="19"/>
      <c r="K5" s="20"/>
      <c r="L5" s="306" t="s">
        <v>5</v>
      </c>
      <c r="M5" s="307"/>
      <c r="N5" s="308"/>
      <c r="O5" s="3"/>
      <c r="P5" s="3"/>
      <c r="Q5" s="3"/>
      <c r="R5" s="3"/>
      <c r="S5" s="3">
        <f>S3+S4</f>
        <v>411638224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">
      <c r="A6" s="21"/>
      <c r="B6" s="22"/>
      <c r="C6" s="23"/>
      <c r="D6" s="24" t="s">
        <v>6</v>
      </c>
      <c r="E6" s="25" t="s">
        <v>7</v>
      </c>
      <c r="F6" s="26" t="s">
        <v>8</v>
      </c>
      <c r="G6" s="27"/>
      <c r="H6" s="28" t="s">
        <v>6</v>
      </c>
      <c r="I6" s="25" t="s">
        <v>7</v>
      </c>
      <c r="J6" s="29" t="s">
        <v>8</v>
      </c>
      <c r="K6" s="30"/>
      <c r="L6" s="24" t="s">
        <v>6</v>
      </c>
      <c r="M6" s="25" t="s">
        <v>7</v>
      </c>
      <c r="N6" s="29" t="s">
        <v>8</v>
      </c>
      <c r="O6" s="3"/>
      <c r="P6" s="3"/>
      <c r="Q6" s="3"/>
      <c r="R6" s="3"/>
      <c r="S6" s="3">
        <f>S5-M9</f>
        <v>-25000000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">
      <c r="A7" s="31" t="s">
        <v>9</v>
      </c>
      <c r="B7" s="32"/>
      <c r="C7" s="33"/>
      <c r="D7" s="34"/>
      <c r="E7" s="35"/>
      <c r="F7" s="36"/>
      <c r="G7" s="27"/>
      <c r="H7" s="37"/>
      <c r="I7" s="35"/>
      <c r="J7" s="38"/>
      <c r="K7" s="30"/>
      <c r="L7" s="34"/>
      <c r="M7" s="35"/>
      <c r="N7" s="3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x14ac:dyDescent="0.2">
      <c r="A8" s="39" t="s">
        <v>10</v>
      </c>
      <c r="C8" s="41"/>
      <c r="D8" s="42">
        <f>+E8</f>
        <v>64895958</v>
      </c>
      <c r="E8" s="43">
        <f>SUM([6]rdo!E6)</f>
        <v>64895958</v>
      </c>
      <c r="F8" s="44">
        <f t="shared" ref="F8:F25" si="0">+D8-E8</f>
        <v>0</v>
      </c>
      <c r="G8" s="27"/>
      <c r="H8" s="45">
        <f>SUM(D8+[2]Hoja1!$I$8)</f>
        <v>372456076</v>
      </c>
      <c r="I8" s="43">
        <f>SUM(E8+[2]Hoja1!$J$8)</f>
        <v>64895958</v>
      </c>
      <c r="J8" s="46">
        <f>SUM(H8-I8)</f>
        <v>307560118</v>
      </c>
      <c r="K8" s="30" t="s">
        <v>11</v>
      </c>
      <c r="L8" s="42">
        <f>+M8</f>
        <v>692713157</v>
      </c>
      <c r="M8" s="43">
        <f>+[6]RDOACUM!AB6</f>
        <v>692713157</v>
      </c>
      <c r="N8" s="44">
        <f t="shared" ref="N8:N18" si="1">SUM(L8-M8)</f>
        <v>0</v>
      </c>
      <c r="O8" s="3"/>
      <c r="P8" s="3" t="s">
        <v>12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39" t="s">
        <v>13</v>
      </c>
      <c r="C9" s="41"/>
      <c r="D9" s="47">
        <f>E9</f>
        <v>36982135</v>
      </c>
      <c r="E9" s="43">
        <f>SUM([6]rdo!E7)</f>
        <v>36982135</v>
      </c>
      <c r="F9" s="48">
        <f t="shared" si="0"/>
        <v>0</v>
      </c>
      <c r="G9" s="27"/>
      <c r="H9" s="49">
        <f>SUM(D9+[2]Hoja1!$I$9)</f>
        <v>246863216</v>
      </c>
      <c r="I9" s="35">
        <f>SUM(E9+[2]Hoja1!$J$9)</f>
        <v>36982135</v>
      </c>
      <c r="J9" s="50">
        <f>SUM(H9-I9)</f>
        <v>209881081</v>
      </c>
      <c r="K9" s="30" t="s">
        <v>14</v>
      </c>
      <c r="L9" s="47">
        <f>+M9-25000000</f>
        <v>411638224</v>
      </c>
      <c r="M9" s="35">
        <f>+[6]RDOACUM!AB7</f>
        <v>436638224</v>
      </c>
      <c r="N9" s="48">
        <f>+L9-M9</f>
        <v>-25000000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39" t="s">
        <v>15</v>
      </c>
      <c r="C10" s="41"/>
      <c r="D10" s="51">
        <f>+E10</f>
        <v>0</v>
      </c>
      <c r="E10" s="52">
        <f>SUM([6]rdo!E8)</f>
        <v>0</v>
      </c>
      <c r="F10" s="53">
        <f t="shared" si="0"/>
        <v>0</v>
      </c>
      <c r="G10" s="54"/>
      <c r="H10" s="55"/>
      <c r="I10" s="52"/>
      <c r="J10" s="56"/>
      <c r="K10" s="57"/>
      <c r="L10" s="51">
        <f>+M10</f>
        <v>0</v>
      </c>
      <c r="M10" s="52">
        <f>+[6]RDOACUM!AB8</f>
        <v>0</v>
      </c>
      <c r="N10" s="48">
        <f t="shared" si="1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B11" s="22" t="s">
        <v>16</v>
      </c>
      <c r="C11" s="41"/>
      <c r="D11" s="58">
        <f>SUM(D8:D10)</f>
        <v>101878093</v>
      </c>
      <c r="E11" s="59">
        <f>SUM(E8:E10)</f>
        <v>101878093</v>
      </c>
      <c r="F11" s="60">
        <f t="shared" si="0"/>
        <v>0</v>
      </c>
      <c r="G11" s="61"/>
      <c r="H11" s="62">
        <f>SUM(H8:H9)</f>
        <v>619319292</v>
      </c>
      <c r="I11" s="59">
        <f>SUM(I8:I9)</f>
        <v>101878093</v>
      </c>
      <c r="J11" s="63">
        <f>SUM(J8:J9)</f>
        <v>517441199</v>
      </c>
      <c r="K11" s="30"/>
      <c r="L11" s="58">
        <f>SUM(L8:L10)</f>
        <v>1104351381</v>
      </c>
      <c r="M11" s="59">
        <f>+M8+M9+M10</f>
        <v>1129351381</v>
      </c>
      <c r="N11" s="60">
        <f t="shared" si="1"/>
        <v>-25000000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39" t="s">
        <v>17</v>
      </c>
      <c r="C12" s="41"/>
      <c r="D12" s="64">
        <f>+E12</f>
        <v>3586004.96</v>
      </c>
      <c r="E12" s="43">
        <f>SUM([6]rdo!E10)</f>
        <v>3586004.96</v>
      </c>
      <c r="F12" s="44">
        <f t="shared" si="0"/>
        <v>0</v>
      </c>
      <c r="G12" s="27"/>
      <c r="H12" s="45">
        <f>SUM(D12+[2]Hoja1!$I$11)</f>
        <v>521027203.95999998</v>
      </c>
      <c r="I12" s="43">
        <f>SUM(E12+[2]Hoja1!$J$11)</f>
        <v>3586004.96</v>
      </c>
      <c r="J12" s="46">
        <f t="shared" ref="J12:J25" si="2">SUM(H12-I12)</f>
        <v>517441199</v>
      </c>
      <c r="K12" s="30"/>
      <c r="L12" s="64">
        <f>+M12</f>
        <v>36647911.370000005</v>
      </c>
      <c r="M12" s="43">
        <f>+[6]RDOACUM!AB10</f>
        <v>36647911.370000005</v>
      </c>
      <c r="N12" s="44">
        <f t="shared" si="1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39" t="s">
        <v>18</v>
      </c>
      <c r="C13" s="41"/>
      <c r="D13" s="34">
        <f>+E13</f>
        <v>1099313.43</v>
      </c>
      <c r="E13" s="35">
        <f>SUM([6]rdo!E11)</f>
        <v>1099313.43</v>
      </c>
      <c r="F13" s="53">
        <f t="shared" si="0"/>
        <v>0</v>
      </c>
      <c r="G13" s="27"/>
      <c r="H13" s="49">
        <f>SUM(D13+[2]Hoja1!$I$12)</f>
        <v>33806057.57</v>
      </c>
      <c r="I13" s="35">
        <f>SUM(E13+[2]Hoja1!$J$12)</f>
        <v>1099470.43</v>
      </c>
      <c r="J13" s="50">
        <f t="shared" si="2"/>
        <v>32706587.140000001</v>
      </c>
      <c r="K13" s="30"/>
      <c r="L13" s="34">
        <f>+M13</f>
        <v>12063177.609999999</v>
      </c>
      <c r="M13" s="35">
        <f>+[6]RDOACUM!AB11</f>
        <v>12063177.609999999</v>
      </c>
      <c r="N13" s="53">
        <f t="shared" si="1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39" t="s">
        <v>19</v>
      </c>
      <c r="C14" s="41"/>
      <c r="D14" s="65">
        <f>+E14</f>
        <v>956444.66</v>
      </c>
      <c r="E14" s="66">
        <f>SUM([6]rdo!E12)</f>
        <v>956444.66</v>
      </c>
      <c r="F14" s="53">
        <f t="shared" si="0"/>
        <v>0</v>
      </c>
      <c r="G14" s="27"/>
      <c r="H14" s="49">
        <f>SUM(D14+[2]Hoja1!$I$13)</f>
        <v>11199709.140000001</v>
      </c>
      <c r="I14" s="35">
        <f>SUM(E14+[2]Hoja1!$J$13)</f>
        <v>956672.66</v>
      </c>
      <c r="J14" s="50">
        <f t="shared" si="2"/>
        <v>10243036.48</v>
      </c>
      <c r="K14" s="30"/>
      <c r="L14" s="51">
        <f>+M14</f>
        <v>956444.66</v>
      </c>
      <c r="M14" s="52">
        <f>+[6]RDOACUM!AB12</f>
        <v>956444.66</v>
      </c>
      <c r="N14" s="53">
        <f t="shared" si="1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">
      <c r="A15" s="39" t="s">
        <v>20</v>
      </c>
      <c r="C15" s="41"/>
      <c r="D15" s="34">
        <f>+E15</f>
        <v>3556096.15</v>
      </c>
      <c r="E15" s="35">
        <f>SUM([6]rdo!E13)</f>
        <v>3556096.15</v>
      </c>
      <c r="F15" s="53">
        <f t="shared" si="0"/>
        <v>0</v>
      </c>
      <c r="G15" s="27"/>
      <c r="H15" s="49">
        <f>SUM(D15+[2]Hoja1!$I$14)</f>
        <v>56065143.779999994</v>
      </c>
      <c r="I15" s="35">
        <f>SUM(E15+[2]Hoja1!$J$14)</f>
        <v>3556157.15</v>
      </c>
      <c r="J15" s="50">
        <f t="shared" si="2"/>
        <v>52508986.629999995</v>
      </c>
      <c r="K15" s="30"/>
      <c r="L15" s="34">
        <f>+M15</f>
        <v>23414213.300000001</v>
      </c>
      <c r="M15" s="35">
        <f>+[6]RDOACUM!AB13</f>
        <v>23414213.300000001</v>
      </c>
      <c r="N15" s="53">
        <f t="shared" si="1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">
      <c r="B16" s="22" t="s">
        <v>21</v>
      </c>
      <c r="C16" s="41"/>
      <c r="D16" s="58">
        <f>SUM(D12:D15)</f>
        <v>9197859.1999999993</v>
      </c>
      <c r="E16" s="59">
        <f>SUM(E12:E15)</f>
        <v>9197859.1999999993</v>
      </c>
      <c r="F16" s="60">
        <f t="shared" si="0"/>
        <v>0</v>
      </c>
      <c r="G16" s="61"/>
      <c r="H16" s="62">
        <f>SUM(H12:H15)</f>
        <v>622098114.44999993</v>
      </c>
      <c r="I16" s="59">
        <f>SUM(I12:I15)</f>
        <v>9198305.1999999993</v>
      </c>
      <c r="J16" s="63">
        <f>SUM(J12:J15)</f>
        <v>612899809.25</v>
      </c>
      <c r="K16" s="30"/>
      <c r="L16" s="58">
        <f>SUM(L12:L15)-1</f>
        <v>73081745.939999998</v>
      </c>
      <c r="M16" s="59">
        <f>+M12+M13+M14+M15-1</f>
        <v>73081745.939999998</v>
      </c>
      <c r="N16" s="60">
        <f t="shared" si="1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">
      <c r="A17" s="39" t="s">
        <v>22</v>
      </c>
      <c r="C17" s="41"/>
      <c r="D17" s="64">
        <v>9734576.5351509918</v>
      </c>
      <c r="E17" s="43">
        <f>SUM([6]rdo!E15)</f>
        <v>5671907.6699999999</v>
      </c>
      <c r="F17" s="44">
        <f t="shared" si="0"/>
        <v>4062668.8651509918</v>
      </c>
      <c r="G17" s="27"/>
      <c r="H17" s="45">
        <f>SUM(D17+[2]Hoja1!$I$16)</f>
        <v>112695078.20515099</v>
      </c>
      <c r="I17" s="43">
        <f>SUM(E17+[2]Hoja1!$J$16)</f>
        <v>5686868.6699999999</v>
      </c>
      <c r="J17" s="46">
        <f t="shared" si="2"/>
        <v>107008209.53515099</v>
      </c>
      <c r="K17" s="30" t="s">
        <v>23</v>
      </c>
      <c r="L17" s="64">
        <f>+D17+[5]COMPRES!$L$17</f>
        <v>98392373.211058155</v>
      </c>
      <c r="M17" s="43">
        <f>+[6]RDOACUM!AB15</f>
        <v>94555766.50999999</v>
      </c>
      <c r="N17" s="44">
        <f t="shared" si="1"/>
        <v>3836606.7010581642</v>
      </c>
      <c r="O17" s="3" t="s">
        <v>24</v>
      </c>
      <c r="P17" s="3" t="s">
        <v>25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">
      <c r="A18" s="39" t="s">
        <v>26</v>
      </c>
      <c r="C18" s="41"/>
      <c r="D18" s="67">
        <v>2672339.6071857563</v>
      </c>
      <c r="E18" s="35">
        <f>SUM([6]rdo!E16)</f>
        <v>2454669.9900000002</v>
      </c>
      <c r="F18" s="48">
        <f t="shared" si="0"/>
        <v>217669.6171857561</v>
      </c>
      <c r="G18" s="27"/>
      <c r="H18" s="37">
        <f>SUM(D18+[2]Hoja1!$I$17)</f>
        <v>47527842.757185757</v>
      </c>
      <c r="I18" s="35">
        <f>SUM(E18+[2]Hoja1!$J$17)</f>
        <v>1062927.5883903112</v>
      </c>
      <c r="J18" s="50">
        <f t="shared" si="2"/>
        <v>46464915.168795444</v>
      </c>
      <c r="K18" s="30" t="s">
        <v>23</v>
      </c>
      <c r="L18" s="34">
        <f>+D18+[5]COMPRES!$L$18</f>
        <v>201526991.57634649</v>
      </c>
      <c r="M18" s="35">
        <f>+[6]RDOACUM!AB16</f>
        <v>199391112.39000002</v>
      </c>
      <c r="N18" s="48">
        <f t="shared" si="1"/>
        <v>2135879.1863464713</v>
      </c>
      <c r="O18" s="3" t="s">
        <v>14</v>
      </c>
      <c r="P18" s="3" t="s">
        <v>25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x14ac:dyDescent="0.2">
      <c r="A19" s="39" t="s">
        <v>27</v>
      </c>
      <c r="C19" s="41"/>
      <c r="D19" s="67">
        <v>4381629.5497140056</v>
      </c>
      <c r="E19" s="35">
        <f>SUM([6]rdo!E17)+[6]rdo!E18</f>
        <v>4536826.1899999995</v>
      </c>
      <c r="F19" s="48">
        <f t="shared" si="0"/>
        <v>-155196.64028599393</v>
      </c>
      <c r="G19" s="27"/>
      <c r="H19" s="37">
        <f>SUM(D19+[2]Hoja1!$I$18)</f>
        <v>94144081.299713999</v>
      </c>
      <c r="I19" s="35">
        <f>SUM(E19+[2]Hoja1!$J$18)</f>
        <v>4393314.5312165935</v>
      </c>
      <c r="J19" s="50">
        <f t="shared" si="2"/>
        <v>89750766.768497407</v>
      </c>
      <c r="K19" s="30" t="s">
        <v>28</v>
      </c>
      <c r="L19" s="34">
        <f>+D19+[5]COMPRES!$L$19</f>
        <v>77060739.909563676</v>
      </c>
      <c r="M19" s="35">
        <f>+[6]RDOACUM!AB17+[6]RDOACUM!AB18</f>
        <v>86201461.269999996</v>
      </c>
      <c r="N19" s="48">
        <f t="shared" ref="N19:N24" si="3">SUM(L19-M19)</f>
        <v>-9140721.3604363203</v>
      </c>
      <c r="O19" s="3" t="s">
        <v>29</v>
      </c>
      <c r="P19" s="3" t="s">
        <v>30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x14ac:dyDescent="0.2">
      <c r="A20" s="39" t="s">
        <v>31</v>
      </c>
      <c r="C20" s="41"/>
      <c r="D20" s="67">
        <v>904900.00654303061</v>
      </c>
      <c r="E20" s="35">
        <f>SUM([6]rdo!E19)</f>
        <v>1109546</v>
      </c>
      <c r="F20" s="48">
        <f t="shared" si="0"/>
        <v>-204645.99345696939</v>
      </c>
      <c r="G20" s="27"/>
      <c r="H20" s="37">
        <f>SUM(D20+[2]Hoja1!$I$20)</f>
        <v>7360989.006543031</v>
      </c>
      <c r="I20" s="35">
        <f>SUM(E20+[2]Hoja1!$J$20)</f>
        <v>284673.35597033333</v>
      </c>
      <c r="J20" s="50">
        <f t="shared" si="2"/>
        <v>7076315.6505726976</v>
      </c>
      <c r="K20" s="30" t="s">
        <v>32</v>
      </c>
      <c r="L20" s="34">
        <f>+D20+[5]COMPRES!$L$20</f>
        <v>10916508.765646409</v>
      </c>
      <c r="M20" s="35">
        <f>+[6]RDOACUM!AB19</f>
        <v>8680522</v>
      </c>
      <c r="N20" s="48">
        <f t="shared" si="3"/>
        <v>2235986.7656464092</v>
      </c>
      <c r="O20" s="3" t="s">
        <v>28</v>
      </c>
      <c r="P20" s="3" t="s">
        <v>33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2">
      <c r="A21" s="39" t="s">
        <v>34</v>
      </c>
      <c r="C21" s="41"/>
      <c r="D21" s="67">
        <v>80793.852743531999</v>
      </c>
      <c r="E21" s="35">
        <f>SUM([6]rdo!E20)</f>
        <v>682336.51</v>
      </c>
      <c r="F21" s="48">
        <f t="shared" si="0"/>
        <v>-601542.65725646797</v>
      </c>
      <c r="G21" s="27"/>
      <c r="H21" s="37">
        <f>SUM(D21+[2]Hoja1!$I$21)</f>
        <v>3147284.352743532</v>
      </c>
      <c r="I21" s="35">
        <f>SUM(E21+[2]Hoja1!$J$21)</f>
        <v>-154828.52425335464</v>
      </c>
      <c r="J21" s="50">
        <f t="shared" si="2"/>
        <v>3302112.8769968869</v>
      </c>
      <c r="K21" s="30"/>
      <c r="L21" s="34">
        <f>+D21+[5]COMPRES!$L$21</f>
        <v>3716976.5401197718</v>
      </c>
      <c r="M21" s="35">
        <f>+[6]RDOACUM!AB20-1</f>
        <v>3382832.23</v>
      </c>
      <c r="N21" s="48">
        <f t="shared" si="3"/>
        <v>334144.31011977186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39" t="s">
        <v>35</v>
      </c>
      <c r="C22" s="41"/>
      <c r="D22" s="67">
        <v>1442901.6380084066</v>
      </c>
      <c r="E22" s="35">
        <f>SUM([6]rdo!E21)</f>
        <v>667362.51</v>
      </c>
      <c r="F22" s="48">
        <f t="shared" si="0"/>
        <v>775539.12800840661</v>
      </c>
      <c r="G22" s="27"/>
      <c r="H22" s="37">
        <f>SUM(D22+[2]Hoja1!$I$22)</f>
        <v>15406848.618008407</v>
      </c>
      <c r="I22" s="35">
        <f>SUM(E22+[2]Hoja1!$J$22)</f>
        <v>6143952.6117196474</v>
      </c>
      <c r="J22" s="50">
        <f t="shared" si="2"/>
        <v>9262896.0062887594</v>
      </c>
      <c r="K22" s="30" t="s">
        <v>36</v>
      </c>
      <c r="L22" s="34">
        <f>+D22+[5]COMPRES!$L$22</f>
        <v>29399773.415585004</v>
      </c>
      <c r="M22" s="35">
        <f>+[6]RDOACUM!AB21</f>
        <v>26163995.600000001</v>
      </c>
      <c r="N22" s="48">
        <f t="shared" si="3"/>
        <v>3235777.8155850023</v>
      </c>
      <c r="O22" s="3" t="s">
        <v>32</v>
      </c>
      <c r="P22" s="3" t="s">
        <v>37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39" t="s">
        <v>38</v>
      </c>
      <c r="C23" s="41"/>
      <c r="D23" s="67">
        <v>341545.24812115979</v>
      </c>
      <c r="E23" s="35">
        <f>SUM([6]rdo!E22)</f>
        <v>303915.64</v>
      </c>
      <c r="F23" s="48">
        <f t="shared" si="0"/>
        <v>37629.608121159778</v>
      </c>
      <c r="G23" s="27"/>
      <c r="H23" s="37">
        <f>SUM(D23+[2]Hoja1!$I$23)</f>
        <v>1569476.0181211599</v>
      </c>
      <c r="I23" s="35">
        <f>SUM(E23+[2]Hoja1!$J$23)</f>
        <v>1488032.9199068644</v>
      </c>
      <c r="J23" s="50">
        <f t="shared" si="2"/>
        <v>81443.09821429546</v>
      </c>
      <c r="K23" s="30"/>
      <c r="L23" s="34">
        <f>+D23+[5]COMPRES!$L$23</f>
        <v>4889558.2982037654</v>
      </c>
      <c r="M23" s="35">
        <f>+[6]RDOACUM!AB22</f>
        <v>4020491.5800000005</v>
      </c>
      <c r="N23" s="48">
        <f t="shared" si="3"/>
        <v>869066.71820376487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39" t="s">
        <v>39</v>
      </c>
      <c r="C24" s="41"/>
      <c r="D24" s="67">
        <v>903326.18205830653</v>
      </c>
      <c r="E24" s="35">
        <f>SUM([6]rdo!E23)</f>
        <v>1553550.97</v>
      </c>
      <c r="F24" s="48">
        <f t="shared" si="0"/>
        <v>-650224.78794169344</v>
      </c>
      <c r="G24" s="27"/>
      <c r="H24" s="37">
        <f>SUM(D24+[2]Hoja1!$I$24)</f>
        <v>5496301.9720583064</v>
      </c>
      <c r="I24" s="35">
        <f>SUM(E24+[2]Hoja1!$J$24)</f>
        <v>327633.80930325319</v>
      </c>
      <c r="J24" s="50">
        <f t="shared" si="2"/>
        <v>5168668.1627550535</v>
      </c>
      <c r="K24" s="30"/>
      <c r="L24" s="34">
        <f>+D24+[5]COMPRES!$L$24</f>
        <v>7106703.9409429599</v>
      </c>
      <c r="M24" s="35">
        <f>+[6]RDOACUM!AB23</f>
        <v>7710783.8999999994</v>
      </c>
      <c r="N24" s="48">
        <f t="shared" si="3"/>
        <v>-604079.95905703958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39" t="s">
        <v>40</v>
      </c>
      <c r="C25" s="41"/>
      <c r="D25" s="68">
        <v>24515268.812061932</v>
      </c>
      <c r="E25" s="69">
        <f>SUM([6]rdo!E24)</f>
        <v>21716042.379999999</v>
      </c>
      <c r="F25" s="70">
        <f t="shared" si="0"/>
        <v>2799226.432061933</v>
      </c>
      <c r="G25" s="71"/>
      <c r="H25" s="72">
        <f>SUM(D25+[2]Hoja1!$I$25)</f>
        <v>44960445.822061934</v>
      </c>
      <c r="I25" s="69">
        <f>SUM(E25+[2]Hoja1!$J$25)</f>
        <v>8484363.7088269144</v>
      </c>
      <c r="J25" s="73">
        <f t="shared" si="2"/>
        <v>36476082.113235019</v>
      </c>
      <c r="K25" s="74" t="s">
        <v>41</v>
      </c>
      <c r="L25" s="47">
        <f>+D25+[5]COMPRES!$L$25-1</f>
        <v>58679040.342533812</v>
      </c>
      <c r="M25" s="69">
        <f>+[6]RDOACUM!AB24+1-8526116</f>
        <v>59194623.700000003</v>
      </c>
      <c r="N25" s="48">
        <f>SUM(L25-M25)+1</f>
        <v>-515582.35746619105</v>
      </c>
      <c r="O25" s="3" t="s">
        <v>42</v>
      </c>
      <c r="P25" s="3" t="s">
        <v>43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B26" s="22" t="s">
        <v>44</v>
      </c>
      <c r="C26" s="41"/>
      <c r="D26" s="58">
        <f>SUM(D17:D25)</f>
        <v>44977281.43158713</v>
      </c>
      <c r="E26" s="59">
        <f>SUM(E17:E25)</f>
        <v>38696157.859999999</v>
      </c>
      <c r="F26" s="60">
        <f>+D26-E26</f>
        <v>6281123.5715871304</v>
      </c>
      <c r="G26" s="61"/>
      <c r="H26" s="62">
        <f>SUM(H17:H25)</f>
        <v>332308348.05158716</v>
      </c>
      <c r="I26" s="59">
        <f>SUM(I17:I25)</f>
        <v>27716938.671080563</v>
      </c>
      <c r="J26" s="63">
        <f>SUM(J17:J25)</f>
        <v>304591409.38050652</v>
      </c>
      <c r="K26" s="30"/>
      <c r="L26" s="58">
        <f>SUM(L17:L25)+1</f>
        <v>491688667</v>
      </c>
      <c r="M26" s="59">
        <f>SUM(M17:M25)</f>
        <v>489301589.17999995</v>
      </c>
      <c r="N26" s="63">
        <f>SUM(L26-M26)+1</f>
        <v>2387078.8200000525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C27" s="23" t="s">
        <v>45</v>
      </c>
      <c r="D27" s="75">
        <f>SUM(D26,D16,D11)</f>
        <v>156053233.63158715</v>
      </c>
      <c r="E27" s="76">
        <f>SUM(E26,E16,E11)</f>
        <v>149772110.06</v>
      </c>
      <c r="F27" s="77">
        <f>+D27-E27</f>
        <v>6281123.5715871453</v>
      </c>
      <c r="G27" s="61"/>
      <c r="H27" s="78">
        <f>SUM(H26+H16+H11)</f>
        <v>1573725754.5015872</v>
      </c>
      <c r="I27" s="78">
        <f>SUM(I26,I16,I11)</f>
        <v>138793336.87108058</v>
      </c>
      <c r="J27" s="79">
        <f>SUM(J11+J16+J26)</f>
        <v>1434932417.6305065</v>
      </c>
      <c r="K27" s="30"/>
      <c r="L27" s="75">
        <f>SUM(L26,L16,L11)+1</f>
        <v>1669121794.9400001</v>
      </c>
      <c r="M27" s="76">
        <f>SUM(M26,M16,M11)</f>
        <v>1691734716.1199999</v>
      </c>
      <c r="N27" s="77">
        <f>SUM(L27-M27)</f>
        <v>-22612921.179999828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">
      <c r="C28" s="23"/>
      <c r="D28" s="80"/>
      <c r="E28" s="81"/>
      <c r="F28" s="82"/>
      <c r="G28" s="61"/>
      <c r="H28" s="78"/>
      <c r="I28" s="83"/>
      <c r="J28" s="77">
        <v>0</v>
      </c>
      <c r="K28" s="30"/>
      <c r="L28" s="80"/>
      <c r="M28" s="81"/>
      <c r="N28" s="8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">
      <c r="B29" s="40" t="s">
        <v>46</v>
      </c>
      <c r="C29" s="23"/>
      <c r="D29" s="84">
        <f>+[3]Hoja1!$BG$28</f>
        <v>3678048.3654001523</v>
      </c>
      <c r="E29" s="85">
        <f>SUM([6]rdo!E29)</f>
        <v>2558582.06</v>
      </c>
      <c r="F29" s="86">
        <f>+D29-E29</f>
        <v>1119466.3054001522</v>
      </c>
      <c r="G29" s="61"/>
      <c r="H29" s="49">
        <f>SUM(D29+[2]Hoja1!$I$29)</f>
        <v>24291900.495400153</v>
      </c>
      <c r="I29" s="35">
        <f>SUM(E29+[2]Hoja1!$J$29)</f>
        <v>1196382.5279894522</v>
      </c>
      <c r="J29" s="87">
        <f>SUM(H29-I29)</f>
        <v>23095517.967410702</v>
      </c>
      <c r="K29" s="30"/>
      <c r="L29" s="88">
        <f>+D29+[5]COMPRES!$L$29</f>
        <v>60165178.440115079</v>
      </c>
      <c r="M29" s="85">
        <f>+[6]RDOACUM!AB29</f>
        <v>60047786.020000003</v>
      </c>
      <c r="N29" s="86">
        <f>SUM(L29-M29)</f>
        <v>117392.42011507601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">
      <c r="C30" s="23" t="s">
        <v>47</v>
      </c>
      <c r="D30" s="75">
        <f>SUM(D27-D29)</f>
        <v>152375185.26618698</v>
      </c>
      <c r="E30" s="76">
        <f>SUM(E27-E29)</f>
        <v>147213528</v>
      </c>
      <c r="F30" s="77">
        <f>SUM(F27-F29)</f>
        <v>5161657.2661869936</v>
      </c>
      <c r="G30" s="61"/>
      <c r="H30" s="78">
        <f>SUM(H27-H29)</f>
        <v>1549433854.006187</v>
      </c>
      <c r="I30" s="78">
        <f>SUM(I27-I29)</f>
        <v>137596954.34309113</v>
      </c>
      <c r="J30" s="79">
        <f>SUM(J27-J29)</f>
        <v>1411836899.6630957</v>
      </c>
      <c r="K30" s="30"/>
      <c r="L30" s="75">
        <f>SUM(L27-L29)</f>
        <v>1608956616.4998851</v>
      </c>
      <c r="M30" s="76">
        <f>SUM(M27-M29)</f>
        <v>1631686930.0999999</v>
      </c>
      <c r="N30" s="77">
        <f>+L30-M30</f>
        <v>-22730313.600114822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">
      <c r="A31" s="89" t="s">
        <v>48</v>
      </c>
      <c r="C31" s="41"/>
      <c r="D31" s="34"/>
      <c r="E31" s="90"/>
      <c r="F31" s="36"/>
      <c r="G31" s="27"/>
      <c r="H31" s="37"/>
      <c r="I31" s="35"/>
      <c r="J31" s="38"/>
      <c r="K31" s="30"/>
      <c r="L31" s="34"/>
      <c r="M31" s="35"/>
      <c r="N31" s="3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2">
      <c r="A32" s="31" t="s">
        <v>49</v>
      </c>
      <c r="B32" s="91"/>
      <c r="C32" s="92"/>
      <c r="D32" s="34"/>
      <c r="E32" s="35"/>
      <c r="F32" s="36"/>
      <c r="G32" s="27"/>
      <c r="H32" s="37"/>
      <c r="I32" s="35"/>
      <c r="J32" s="38"/>
      <c r="K32" s="30"/>
      <c r="L32" s="34"/>
      <c r="M32" s="35"/>
      <c r="N32" s="3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x14ac:dyDescent="0.2">
      <c r="A33" s="39" t="s">
        <v>50</v>
      </c>
      <c r="C33" s="41"/>
      <c r="D33" s="93">
        <v>103247628.27254355</v>
      </c>
      <c r="E33" s="94">
        <f>SUM([6]rdo!E34)</f>
        <v>114579216.26000001</v>
      </c>
      <c r="F33" s="95">
        <f t="shared" ref="F33:F75" si="4">SUM(D33-E33)</f>
        <v>-11331587.987456456</v>
      </c>
      <c r="G33" s="27"/>
      <c r="H33" s="96">
        <f>SUM(D33+[2]Hoja1!$I$33)</f>
        <v>614149767.08254361</v>
      </c>
      <c r="I33" s="94">
        <f>SUM(E33+[2]Hoja1!$J$33)</f>
        <v>102163024.68027259</v>
      </c>
      <c r="J33" s="97">
        <f t="shared" ref="J33:J75" si="5">SUM(H33-I33)</f>
        <v>511986742.40227103</v>
      </c>
      <c r="K33" s="30" t="s">
        <v>51</v>
      </c>
      <c r="L33" s="42">
        <f>+D33+[5]COMPRES!$L$33</f>
        <v>1007756644.5914985</v>
      </c>
      <c r="M33" s="43">
        <f>+[6]RDOACUM!AB33</f>
        <v>1028055412.9699999</v>
      </c>
      <c r="N33" s="97">
        <f>SUM(L33-M33)-1</f>
        <v>-20298769.378501415</v>
      </c>
      <c r="O33" s="3" t="s">
        <v>41</v>
      </c>
      <c r="P33" s="3" t="s">
        <v>52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">
      <c r="A34" s="39" t="s">
        <v>53</v>
      </c>
      <c r="C34" s="41"/>
      <c r="D34" s="98">
        <v>37247972.513999827</v>
      </c>
      <c r="E34" s="69">
        <f>SUM([6]rdo!E35)-[6]IYE!AH89</f>
        <v>28509909.600000001</v>
      </c>
      <c r="F34" s="70">
        <f t="shared" si="4"/>
        <v>8738062.9139998257</v>
      </c>
      <c r="G34" s="71"/>
      <c r="H34" s="99">
        <f>SUM(D34+[2]Hoja1!$I$34)</f>
        <v>111097562.26399982</v>
      </c>
      <c r="I34" s="69">
        <f>SUM(E34+[2]Hoja1!$J$34)</f>
        <v>18984580.199402146</v>
      </c>
      <c r="J34" s="73">
        <f t="shared" si="5"/>
        <v>92112982.064597666</v>
      </c>
      <c r="K34" s="74" t="s">
        <v>54</v>
      </c>
      <c r="L34" s="47">
        <f>+D34+[5]COMPRES!$L$34</f>
        <v>161820094.79999998</v>
      </c>
      <c r="M34" s="35">
        <f>+[6]IYE!AC35</f>
        <v>174235098.87</v>
      </c>
      <c r="N34" s="50">
        <f t="shared" ref="N34:N46" si="6">SUM(L34-M34)</f>
        <v>-12415004.070000023</v>
      </c>
      <c r="O34" s="3" t="s">
        <v>55</v>
      </c>
      <c r="P34" s="3" t="s">
        <v>56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39" t="s">
        <v>57</v>
      </c>
      <c r="C35" s="41"/>
      <c r="D35" s="98">
        <v>21901406.945856411</v>
      </c>
      <c r="E35" s="69">
        <f>SUM([6]rdo!E36)</f>
        <v>4511641.9800000004</v>
      </c>
      <c r="F35" s="70">
        <f t="shared" si="4"/>
        <v>17389764.965856411</v>
      </c>
      <c r="G35" s="71"/>
      <c r="H35" s="99">
        <f>SUM(D35+[2]Hoja1!$I$35)</f>
        <v>53750674.14585641</v>
      </c>
      <c r="I35" s="69">
        <f>SUM(E35+[2]Hoja1!$J$35)</f>
        <v>687384.56724836677</v>
      </c>
      <c r="J35" s="73">
        <f t="shared" si="5"/>
        <v>53063289.578608043</v>
      </c>
      <c r="K35" s="74" t="s">
        <v>58</v>
      </c>
      <c r="L35" s="47">
        <f>+D35+[5]COMPRES!$L$35</f>
        <v>81934190</v>
      </c>
      <c r="M35" s="35">
        <f>+[6]RDOACUM!AB35</f>
        <v>71738033.719999999</v>
      </c>
      <c r="N35" s="50">
        <f t="shared" si="6"/>
        <v>10196156.280000001</v>
      </c>
      <c r="O35" s="3" t="s">
        <v>54</v>
      </c>
      <c r="P35" s="3" t="s">
        <v>59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39" t="s">
        <v>60</v>
      </c>
      <c r="C36" s="41"/>
      <c r="D36" s="98">
        <v>17100490.26225882</v>
      </c>
      <c r="E36" s="69">
        <f>SUM([6]rdo!E37)</f>
        <v>4346790.33</v>
      </c>
      <c r="F36" s="70">
        <f t="shared" si="4"/>
        <v>12753699.93225882</v>
      </c>
      <c r="G36" s="71"/>
      <c r="H36" s="99">
        <f>SUM(D36+[2]Hoja1!$I$36)</f>
        <v>40005241.902258821</v>
      </c>
      <c r="I36" s="69">
        <f>SUM(E36+[2]Hoja1!$J$36)</f>
        <v>477375.74872611277</v>
      </c>
      <c r="J36" s="73">
        <f t="shared" si="5"/>
        <v>39527866.153532706</v>
      </c>
      <c r="K36" s="74" t="s">
        <v>61</v>
      </c>
      <c r="L36" s="47">
        <f>+D36+[5]COMPRES!$L$36</f>
        <v>69351469.200000003</v>
      </c>
      <c r="M36" s="35">
        <f>+[6]RDOACUM!AB36</f>
        <v>49773972.870000005</v>
      </c>
      <c r="N36" s="50">
        <f t="shared" si="6"/>
        <v>19577496.329999998</v>
      </c>
      <c r="O36" s="3" t="s">
        <v>58</v>
      </c>
      <c r="P36" s="3" t="s">
        <v>62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39" t="s">
        <v>63</v>
      </c>
      <c r="C37" s="41"/>
      <c r="D37" s="98">
        <v>8213273.0966401827</v>
      </c>
      <c r="E37" s="69">
        <f>SUM([6]rdo!E38)</f>
        <v>5509811.1200000001</v>
      </c>
      <c r="F37" s="70">
        <f t="shared" si="4"/>
        <v>2703461.9766401825</v>
      </c>
      <c r="G37" s="71"/>
      <c r="H37" s="72">
        <f>SUM(D37+[2]Hoja1!$I$37)</f>
        <v>21275002.106640182</v>
      </c>
      <c r="I37" s="69">
        <f>SUM(E37+[2]Hoja1!$J$37)</f>
        <v>1966666.8097264981</v>
      </c>
      <c r="J37" s="73">
        <f t="shared" si="5"/>
        <v>19308335.296913683</v>
      </c>
      <c r="K37" s="74" t="s">
        <v>64</v>
      </c>
      <c r="L37" s="47">
        <f>+D37+[5]COMPRES!$L$37</f>
        <v>45172658</v>
      </c>
      <c r="M37" s="35">
        <f>+[6]RDOACUM!AB37</f>
        <v>41039217.680000007</v>
      </c>
      <c r="N37" s="48">
        <f t="shared" si="6"/>
        <v>4133440.3199999928</v>
      </c>
      <c r="O37" s="3" t="s">
        <v>61</v>
      </c>
      <c r="P37" s="3" t="s">
        <v>65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39" t="s">
        <v>66</v>
      </c>
      <c r="D38" s="100">
        <v>0</v>
      </c>
      <c r="E38" s="101">
        <v>0</v>
      </c>
      <c r="F38" s="102">
        <f t="shared" si="4"/>
        <v>0</v>
      </c>
      <c r="G38" s="103">
        <f>SUM(E38)</f>
        <v>0</v>
      </c>
      <c r="H38" s="104" t="e">
        <f>SUM(G38/G61)*100</f>
        <v>#DIV/0!</v>
      </c>
      <c r="I38" s="1"/>
      <c r="J38" s="1"/>
      <c r="K38" s="105"/>
      <c r="L38" s="100">
        <v>0</v>
      </c>
      <c r="M38" s="101">
        <v>0</v>
      </c>
      <c r="N38" s="48">
        <f t="shared" si="6"/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B39" s="22" t="s">
        <v>67</v>
      </c>
      <c r="C39" s="41"/>
      <c r="D39" s="58">
        <f>SUM(D33:D38)</f>
        <v>187710771.09129879</v>
      </c>
      <c r="E39" s="59">
        <f>SUM(E33:E38)</f>
        <v>157457369.29000002</v>
      </c>
      <c r="F39" s="60">
        <f t="shared" si="4"/>
        <v>30253401.801298767</v>
      </c>
      <c r="G39" s="61"/>
      <c r="H39" s="62">
        <f>SUM(H33:H37)</f>
        <v>840278247.5012989</v>
      </c>
      <c r="I39" s="59">
        <f>SUM(I33:I37)</f>
        <v>124279032.00537571</v>
      </c>
      <c r="J39" s="63">
        <f t="shared" si="5"/>
        <v>715999215.49592316</v>
      </c>
      <c r="K39" s="30"/>
      <c r="L39" s="58">
        <f>SUM(L33:L38)-1</f>
        <v>1366035055.5914986</v>
      </c>
      <c r="M39" s="59">
        <f>SUM(M33:M38)+1</f>
        <v>1364841737.1099999</v>
      </c>
      <c r="N39" s="63">
        <f t="shared" si="6"/>
        <v>1193318.4814987183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39" t="s">
        <v>68</v>
      </c>
      <c r="C40" s="41"/>
      <c r="D40" s="93">
        <v>219350.34833028479</v>
      </c>
      <c r="E40" s="106">
        <f>SUM([6]rdo!E40)</f>
        <v>210604.23</v>
      </c>
      <c r="F40" s="95">
        <f t="shared" si="4"/>
        <v>8746.1183302847785</v>
      </c>
      <c r="G40" s="107"/>
      <c r="H40" s="96">
        <f>SUM(D40+[2]Hoja1!$I$39)</f>
        <v>652786826.75833023</v>
      </c>
      <c r="I40" s="94">
        <f>SUM(E40+[2]Hoja1!$J$39)</f>
        <v>-32967733.054624338</v>
      </c>
      <c r="J40" s="97">
        <f t="shared" si="5"/>
        <v>685754559.81295455</v>
      </c>
      <c r="K40" s="30"/>
      <c r="L40" s="64">
        <f>+D40+[5]COMPRES!$L$40</f>
        <v>1602862.3969732858</v>
      </c>
      <c r="M40" s="43">
        <f>+[6]RDOACUM!AB39</f>
        <v>1533222.93</v>
      </c>
      <c r="N40" s="97">
        <f t="shared" si="6"/>
        <v>69639.466973285889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">
      <c r="A41" s="39" t="s">
        <v>69</v>
      </c>
      <c r="C41" s="41"/>
      <c r="D41" s="34">
        <v>549837.13456825062</v>
      </c>
      <c r="E41" s="35">
        <f>SUM([6]rdo!E41)</f>
        <v>89722.58</v>
      </c>
      <c r="F41" s="48">
        <f t="shared" si="4"/>
        <v>460114.55456825061</v>
      </c>
      <c r="G41" s="27"/>
      <c r="H41" s="37">
        <f>SUM(D41+[2]Hoja1!$I$40)</f>
        <v>1285572.3045682507</v>
      </c>
      <c r="I41" s="35">
        <f>SUM(E41+[2]Hoja1!$J$40)</f>
        <v>374967.13788228534</v>
      </c>
      <c r="J41" s="108">
        <f t="shared" si="5"/>
        <v>910605.16668596538</v>
      </c>
      <c r="K41" s="30"/>
      <c r="L41" s="34">
        <f>+D41+[5]COMPRES!$L$41</f>
        <v>1266276.6868552756</v>
      </c>
      <c r="M41" s="35">
        <f>+[6]RDOACUM!AB40</f>
        <v>1416433.3900000001</v>
      </c>
      <c r="N41" s="50">
        <f t="shared" si="6"/>
        <v>-150156.70314472448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39" t="s">
        <v>70</v>
      </c>
      <c r="C42" s="41"/>
      <c r="D42" s="34">
        <v>508243.80728841492</v>
      </c>
      <c r="E42" s="35">
        <f>SUM([6]rdo!E42)</f>
        <v>487164.23</v>
      </c>
      <c r="F42" s="48">
        <f t="shared" si="4"/>
        <v>21079.577288414934</v>
      </c>
      <c r="G42" s="27"/>
      <c r="H42" s="37">
        <f>SUM(D42+[2]Hoja1!$I$41)</f>
        <v>548739.70728841494</v>
      </c>
      <c r="I42" s="35">
        <f>SUM(E42+[2]Hoja1!$J$41)</f>
        <v>508270.09214633732</v>
      </c>
      <c r="J42" s="108">
        <f t="shared" si="5"/>
        <v>40469.615142077615</v>
      </c>
      <c r="K42" s="30"/>
      <c r="L42" s="34">
        <f>+D42+[5]COMPRES!$L$42</f>
        <v>3571468.5860739811</v>
      </c>
      <c r="M42" s="35">
        <f>+[6]RDOACUM!AB41</f>
        <v>4039794.4800000004</v>
      </c>
      <c r="N42" s="50">
        <f t="shared" si="6"/>
        <v>-468325.89392601931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">
      <c r="A43" s="39" t="s">
        <v>71</v>
      </c>
      <c r="C43" s="41"/>
      <c r="D43" s="34">
        <v>206042.51677289631</v>
      </c>
      <c r="E43" s="35">
        <f>SUM([6]rdo!E43)</f>
        <v>24320.26</v>
      </c>
      <c r="F43" s="48">
        <f t="shared" si="4"/>
        <v>181722.2567728963</v>
      </c>
      <c r="G43" s="27"/>
      <c r="H43" s="37">
        <f>SUM(D43+[2]Hoja1!$I$42)</f>
        <v>1813402.7167728962</v>
      </c>
      <c r="I43" s="35">
        <f>SUM(E43+[2]Hoja1!$J$42)</f>
        <v>544803.80601779697</v>
      </c>
      <c r="J43" s="108">
        <f t="shared" si="5"/>
        <v>1268598.9107550993</v>
      </c>
      <c r="K43" s="30"/>
      <c r="L43" s="34">
        <f>+D43+[5]COMPRES!$L$43</f>
        <v>461103.12564280978</v>
      </c>
      <c r="M43" s="35">
        <f>+[6]RDOACUM!AB42</f>
        <v>458599.66000000003</v>
      </c>
      <c r="N43" s="50">
        <f>SUM(L43-M43)+1</f>
        <v>2504.4656428097514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">
      <c r="A44" s="39" t="s">
        <v>72</v>
      </c>
      <c r="C44" s="41"/>
      <c r="D44" s="34">
        <v>138533.25392107939</v>
      </c>
      <c r="E44" s="35">
        <f>SUM([6]rdo!E44)</f>
        <v>146799.17000000001</v>
      </c>
      <c r="F44" s="48">
        <f t="shared" si="4"/>
        <v>-8265.9160789206217</v>
      </c>
      <c r="G44" s="27"/>
      <c r="H44" s="37">
        <f>SUM(D44+[2]Hoja1!$I$43)</f>
        <v>350215.55392107938</v>
      </c>
      <c r="I44" s="35">
        <f>SUM(E44+[2]Hoja1!$J$43)</f>
        <v>240696.90088282971</v>
      </c>
      <c r="J44" s="108">
        <f t="shared" si="5"/>
        <v>109518.65303824967</v>
      </c>
      <c r="K44" s="30"/>
      <c r="L44" s="34">
        <f>+D44+[5]COMPRES!$L$44</f>
        <v>697674.3686125942</v>
      </c>
      <c r="M44" s="35">
        <f>+[6]RDOACUM!AB43</f>
        <v>683141.94</v>
      </c>
      <c r="N44" s="50">
        <f t="shared" si="6"/>
        <v>14532.42861259426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">
      <c r="A45" s="39" t="s">
        <v>73</v>
      </c>
      <c r="C45" s="41"/>
      <c r="D45" s="65">
        <v>0</v>
      </c>
      <c r="E45" s="66">
        <f>+[6]rdo!E45</f>
        <v>0</v>
      </c>
      <c r="F45" s="48">
        <f t="shared" si="4"/>
        <v>0</v>
      </c>
      <c r="G45" s="107"/>
      <c r="H45" s="49">
        <f>SUM(D45+[2]Hoja1!$I$44)</f>
        <v>290385.82999999996</v>
      </c>
      <c r="I45" s="66">
        <f>SUM(E45+[2]Hoja1!$J$44)</f>
        <v>169352.92368459678</v>
      </c>
      <c r="J45" s="50">
        <f t="shared" si="5"/>
        <v>121032.90631540318</v>
      </c>
      <c r="K45" s="109"/>
      <c r="L45" s="65">
        <v>0</v>
      </c>
      <c r="M45" s="66">
        <f>+[6]RDOACUM!AB44</f>
        <v>0</v>
      </c>
      <c r="N45" s="50">
        <f t="shared" si="6"/>
        <v>0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">
      <c r="A46" s="39" t="s">
        <v>74</v>
      </c>
      <c r="C46" s="41"/>
      <c r="D46" s="34">
        <v>4665.1177020906835</v>
      </c>
      <c r="E46" s="35">
        <f>SUM([6]rdo!E46)</f>
        <v>76348.03</v>
      </c>
      <c r="F46" s="48">
        <f t="shared" si="4"/>
        <v>-71682.912297909323</v>
      </c>
      <c r="G46" s="27"/>
      <c r="H46" s="37">
        <f>SUM(D46+[2]Hoja1!$I$45)</f>
        <v>4665.1177020906835</v>
      </c>
      <c r="I46" s="35">
        <f>SUM(E46+[2]Hoja1!$J$45)</f>
        <v>76348.03</v>
      </c>
      <c r="J46" s="108">
        <f t="shared" si="5"/>
        <v>-71682.912297909323</v>
      </c>
      <c r="K46" s="30"/>
      <c r="L46" s="34">
        <f>+D46+[5]COMPRES!$L$46</f>
        <v>134812.01156891955</v>
      </c>
      <c r="M46" s="35">
        <f>+[6]RDOACUM!AB45</f>
        <v>305577.00000000006</v>
      </c>
      <c r="N46" s="50">
        <f t="shared" si="6"/>
        <v>-170764.98843108051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2">
      <c r="A47" s="39" t="s">
        <v>75</v>
      </c>
      <c r="C47" s="41"/>
      <c r="D47" s="34">
        <v>17277.922099140393</v>
      </c>
      <c r="E47" s="110">
        <f>SUM([6]rdo!E47)</f>
        <v>7694.52</v>
      </c>
      <c r="F47" s="48">
        <f>SUM(D47-E47)</f>
        <v>9583.4020991403922</v>
      </c>
      <c r="G47" s="27"/>
      <c r="H47" s="37">
        <f>SUM(D47+[2]Hoja1!$I$46)</f>
        <v>165172.92209914039</v>
      </c>
      <c r="I47" s="35">
        <f>SUM(E47+[2]Hoja1!$J$46)</f>
        <v>216411.12819465136</v>
      </c>
      <c r="J47" s="50">
        <f t="shared" si="5"/>
        <v>-51238.206095510977</v>
      </c>
      <c r="K47" s="30"/>
      <c r="L47" s="34">
        <f>+D47+[5]COMPRES!$L$47</f>
        <v>257034.67132115699</v>
      </c>
      <c r="M47" s="35">
        <f>+[6]RDOACUM!AB46</f>
        <v>176355.12</v>
      </c>
      <c r="N47" s="50">
        <f t="shared" ref="N47:N62" si="7">SUM(L47-M47)</f>
        <v>80679.551321156992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2">
      <c r="B48" s="22" t="s">
        <v>76</v>
      </c>
      <c r="C48" s="41"/>
      <c r="D48" s="58">
        <f>SUM(D40:D47)</f>
        <v>1643950.1006821573</v>
      </c>
      <c r="E48" s="111">
        <f>SUM(E40:E47)</f>
        <v>1042653.0200000001</v>
      </c>
      <c r="F48" s="60">
        <f t="shared" si="4"/>
        <v>601297.08068215719</v>
      </c>
      <c r="G48" s="61"/>
      <c r="H48" s="62">
        <f>SUM(H40:H47)</f>
        <v>657244980.9106822</v>
      </c>
      <c r="I48" s="59">
        <f>SUM(I40:I47)</f>
        <v>-30836883.035815839</v>
      </c>
      <c r="J48" s="63">
        <f t="shared" si="5"/>
        <v>688081863.94649804</v>
      </c>
      <c r="K48" s="30"/>
      <c r="L48" s="58">
        <f>SUM(L40:L47)+1</f>
        <v>7991232.8470480237</v>
      </c>
      <c r="M48" s="111">
        <f>SUM(M40:M47)</f>
        <v>8613124.5199999996</v>
      </c>
      <c r="N48" s="63">
        <f t="shared" si="7"/>
        <v>-621891.67295197584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2">
      <c r="C49" s="23" t="s">
        <v>77</v>
      </c>
      <c r="D49" s="112">
        <f>SUM(D48,D39)</f>
        <v>189354721.19198096</v>
      </c>
      <c r="E49" s="111">
        <f>SUM(E48,E39)</f>
        <v>158500022.31000003</v>
      </c>
      <c r="F49" s="60">
        <f t="shared" si="4"/>
        <v>30854698.881980926</v>
      </c>
      <c r="G49" s="113"/>
      <c r="H49" s="114">
        <f>SUM(H48,H39)</f>
        <v>1497523228.4119811</v>
      </c>
      <c r="I49" s="111">
        <f>SUM(I48,I39)</f>
        <v>93442148.969559878</v>
      </c>
      <c r="J49" s="63">
        <f t="shared" si="5"/>
        <v>1404081079.4424212</v>
      </c>
      <c r="K49" s="30"/>
      <c r="L49" s="112">
        <f>SUM(L48,L39)+1</f>
        <v>1374026289.4385467</v>
      </c>
      <c r="M49" s="111">
        <f>SUM(M48,M39)+1</f>
        <v>1373454862.6299999</v>
      </c>
      <c r="N49" s="63">
        <f t="shared" si="7"/>
        <v>571426.80854678154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2">
      <c r="A50" s="39" t="s">
        <v>78</v>
      </c>
      <c r="C50" s="41"/>
      <c r="D50" s="115">
        <v>85000</v>
      </c>
      <c r="E50" s="94">
        <f>+[6]IYE!AA51</f>
        <v>0</v>
      </c>
      <c r="F50" s="95">
        <f t="shared" si="4"/>
        <v>85000</v>
      </c>
      <c r="G50" s="107"/>
      <c r="H50" s="96">
        <f>SUM(D50+[2]Hoja1!$I$49)</f>
        <v>655824271.24000001</v>
      </c>
      <c r="I50" s="94">
        <f>SUM(E50+[2]Hoja1!$J$49)</f>
        <v>-31918704.151584148</v>
      </c>
      <c r="J50" s="97">
        <f t="shared" si="5"/>
        <v>687742975.39158416</v>
      </c>
      <c r="K50" s="30"/>
      <c r="L50" s="64">
        <f>+D50+[5]COMPRES!$L$50</f>
        <v>680000</v>
      </c>
      <c r="M50" s="43">
        <f>+[6]IYE!AC51-1</f>
        <v>79772.600000000006</v>
      </c>
      <c r="N50" s="97">
        <f t="shared" si="7"/>
        <v>600227.4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2">
      <c r="A51" s="39" t="s">
        <v>79</v>
      </c>
      <c r="C51" s="41"/>
      <c r="D51" s="116">
        <v>0</v>
      </c>
      <c r="E51" s="117">
        <f>+[6]IYE!AA52</f>
        <v>1200</v>
      </c>
      <c r="F51" s="48">
        <f>SUM(D51-E51)</f>
        <v>-1200</v>
      </c>
      <c r="G51" s="107"/>
      <c r="H51" s="49">
        <f>SUM(D51+[2]Hoja1!$I$50)</f>
        <v>168000</v>
      </c>
      <c r="I51" s="35">
        <f>SUM(E51+[2]Hoja1!$J$50)</f>
        <v>37700</v>
      </c>
      <c r="J51" s="50">
        <f t="shared" si="5"/>
        <v>130300</v>
      </c>
      <c r="K51" s="30"/>
      <c r="L51" s="34">
        <f>+D51+[5]COMPRES!$L$51</f>
        <v>100000</v>
      </c>
      <c r="M51" s="35">
        <f>+[6]IYE!AC52</f>
        <v>154967.64000000001</v>
      </c>
      <c r="N51" s="50">
        <f t="shared" si="7"/>
        <v>-54967.640000000014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2">
      <c r="A52" s="39" t="s">
        <v>80</v>
      </c>
      <c r="C52" s="41"/>
      <c r="D52" s="116">
        <v>0</v>
      </c>
      <c r="E52" s="117">
        <f>+[6]IYE!AA53</f>
        <v>0</v>
      </c>
      <c r="F52" s="48">
        <f t="shared" si="4"/>
        <v>0</v>
      </c>
      <c r="G52" s="107"/>
      <c r="H52" s="49">
        <f>SUM(D52+[2]Hoja1!$I$51)</f>
        <v>181001.05</v>
      </c>
      <c r="I52" s="66">
        <f>SUM(E52+[2]Hoja1!$J$51)</f>
        <v>358031.95</v>
      </c>
      <c r="J52" s="50">
        <f t="shared" si="5"/>
        <v>-177030.90000000002</v>
      </c>
      <c r="K52" s="30"/>
      <c r="L52" s="34">
        <f>+D52+[5]COMPRES!$L$52</f>
        <v>0</v>
      </c>
      <c r="M52" s="35">
        <f>+[6]IYE!AC53</f>
        <v>0</v>
      </c>
      <c r="N52" s="50">
        <f t="shared" si="7"/>
        <v>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2">
      <c r="A53" s="39" t="s">
        <v>81</v>
      </c>
      <c r="C53" s="41"/>
      <c r="D53" s="116">
        <v>129585874.51000001</v>
      </c>
      <c r="E53" s="117">
        <f>+[6]IYE!AA54</f>
        <v>4067136.8900000006</v>
      </c>
      <c r="F53" s="48">
        <f t="shared" si="4"/>
        <v>125518737.62</v>
      </c>
      <c r="G53" s="107"/>
      <c r="H53" s="49">
        <f>SUM(D53+[2]Hoja1!$I$52)</f>
        <v>129585874.51000001</v>
      </c>
      <c r="I53" s="35">
        <f>SUM(E53+[2]Hoja1!$J$52)</f>
        <v>4067136.8900000006</v>
      </c>
      <c r="J53" s="50">
        <f t="shared" si="5"/>
        <v>125518737.62</v>
      </c>
      <c r="K53" s="30" t="s">
        <v>82</v>
      </c>
      <c r="L53" s="34">
        <f>+D53+[5]COMPRES!$L$53</f>
        <v>160593384.50999999</v>
      </c>
      <c r="M53" s="35">
        <f>+[6]IYE!AC54</f>
        <v>35659219.300000004</v>
      </c>
      <c r="N53" s="50">
        <f t="shared" si="7"/>
        <v>124934165.20999998</v>
      </c>
      <c r="O53" s="3" t="s">
        <v>64</v>
      </c>
      <c r="P53" s="3" t="s">
        <v>83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2">
      <c r="A54" s="39" t="s">
        <v>84</v>
      </c>
      <c r="C54" s="41"/>
      <c r="D54" s="116">
        <v>50000</v>
      </c>
      <c r="E54" s="117">
        <f>+[6]IYE!AA55</f>
        <v>8906.4</v>
      </c>
      <c r="F54" s="48">
        <f>SUM(D54-E54)</f>
        <v>41093.599999999999</v>
      </c>
      <c r="G54" s="107"/>
      <c r="H54" s="49">
        <f>SUM(D54+[2]Hoja1!$I$53)</f>
        <v>23763675.899999999</v>
      </c>
      <c r="I54" s="35">
        <f>SUM(E54+[2]Hoja1!$J$53)</f>
        <v>-4667978.4999999981</v>
      </c>
      <c r="J54" s="50">
        <f t="shared" si="5"/>
        <v>28431654.399999999</v>
      </c>
      <c r="K54" s="30"/>
      <c r="L54" s="34">
        <f>+D54+[5]COMPRES!$L$54</f>
        <v>5500000</v>
      </c>
      <c r="M54" s="35">
        <f>+[6]IYE!AC55</f>
        <v>4038031.83</v>
      </c>
      <c r="N54" s="50">
        <f t="shared" si="7"/>
        <v>1461968.17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2">
      <c r="A55" s="39" t="s">
        <v>85</v>
      </c>
      <c r="C55" s="41"/>
      <c r="D55" s="116">
        <v>650000</v>
      </c>
      <c r="E55" s="117">
        <f>+[6]IYE!AA56</f>
        <v>641521.59</v>
      </c>
      <c r="F55" s="48">
        <f t="shared" si="4"/>
        <v>8478.4100000000326</v>
      </c>
      <c r="G55" s="107"/>
      <c r="H55" s="49">
        <f>SUM(D55+[2]Hoja1!$I$54)</f>
        <v>666195</v>
      </c>
      <c r="I55" s="35">
        <f>SUM(E55+[2]Hoja1!$J$54)</f>
        <v>976658.59</v>
      </c>
      <c r="J55" s="50">
        <f t="shared" si="5"/>
        <v>-310463.58999999997</v>
      </c>
      <c r="K55" s="30"/>
      <c r="L55" s="34">
        <f>+D55+[5]COMPRES!$L$55</f>
        <v>11750000</v>
      </c>
      <c r="M55" s="35">
        <f>+[6]IYE!AC56</f>
        <v>11438009.969999999</v>
      </c>
      <c r="N55" s="50">
        <f t="shared" si="7"/>
        <v>311990.03000000119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2">
      <c r="A56" s="39" t="s">
        <v>86</v>
      </c>
      <c r="C56" s="41"/>
      <c r="D56" s="116">
        <v>1300000</v>
      </c>
      <c r="E56" s="117">
        <f>+[6]IYE!AA57</f>
        <v>2258698.27</v>
      </c>
      <c r="F56" s="48">
        <f t="shared" si="4"/>
        <v>-958698.27</v>
      </c>
      <c r="G56" s="107"/>
      <c r="H56" s="49">
        <f>SUM(D56+[2]Hoja1!$I$55)</f>
        <v>3046494.88</v>
      </c>
      <c r="I56" s="35">
        <f>SUM(E56+[2]Hoja1!$J$55)</f>
        <v>3408309.8400000003</v>
      </c>
      <c r="J56" s="50">
        <f t="shared" si="5"/>
        <v>-361814.96000000043</v>
      </c>
      <c r="K56" s="30"/>
      <c r="L56" s="34">
        <f>+D56+[5]COMPRES!$L$56</f>
        <v>5939751</v>
      </c>
      <c r="M56" s="35">
        <f>+[6]IYE!AC57</f>
        <v>7001325.7400000002</v>
      </c>
      <c r="N56" s="50">
        <f t="shared" si="7"/>
        <v>-1061574.7400000002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2">
      <c r="A57" s="39" t="s">
        <v>87</v>
      </c>
      <c r="C57" s="41"/>
      <c r="D57" s="116">
        <v>100000</v>
      </c>
      <c r="E57" s="117">
        <f>+[6]IYE!AA58</f>
        <v>0</v>
      </c>
      <c r="F57" s="48">
        <f t="shared" si="4"/>
        <v>100000</v>
      </c>
      <c r="G57" s="107"/>
      <c r="H57" s="49">
        <f>SUM(D57+[2]Hoja1!$I$56)</f>
        <v>4312298.28</v>
      </c>
      <c r="I57" s="35">
        <f>SUM(E57+[2]Hoja1!$J$56)</f>
        <v>-17910.730000000447</v>
      </c>
      <c r="J57" s="50">
        <f t="shared" si="5"/>
        <v>4330209.0100000007</v>
      </c>
      <c r="K57" s="30"/>
      <c r="L57" s="34">
        <f>+D57+[5]COMPRES!$L$57</f>
        <v>3800000</v>
      </c>
      <c r="M57" s="35">
        <f>+[6]IYE!AC58</f>
        <v>2831495</v>
      </c>
      <c r="N57" s="50">
        <f t="shared" si="7"/>
        <v>968505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2">
      <c r="A58" s="39" t="s">
        <v>88</v>
      </c>
      <c r="C58" s="41"/>
      <c r="D58" s="116">
        <v>560000</v>
      </c>
      <c r="E58" s="117">
        <f>+[6]IYE!AA59</f>
        <v>18947.64</v>
      </c>
      <c r="F58" s="48">
        <f t="shared" si="4"/>
        <v>541052.36</v>
      </c>
      <c r="G58" s="107"/>
      <c r="H58" s="49">
        <f>SUM(D58+[2]Hoja1!$I$57)</f>
        <v>1768098</v>
      </c>
      <c r="I58" s="35">
        <f>SUM(E58+[2]Hoja1!$J$57)</f>
        <v>2969540.83</v>
      </c>
      <c r="J58" s="50">
        <f t="shared" si="5"/>
        <v>-1201442.83</v>
      </c>
      <c r="K58" s="30"/>
      <c r="L58" s="34">
        <f>+D58+[5]COMPRES!$L$58</f>
        <v>6600000</v>
      </c>
      <c r="M58" s="35">
        <f>+[6]IYE!AC59-1</f>
        <v>6802990.4600000009</v>
      </c>
      <c r="N58" s="50">
        <f t="shared" si="7"/>
        <v>-202990.46000000089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2">
      <c r="A59" s="39" t="s">
        <v>89</v>
      </c>
      <c r="C59" s="41"/>
      <c r="D59" s="116">
        <v>85000</v>
      </c>
      <c r="E59" s="117">
        <f>+[6]IYE!AA60</f>
        <v>127379.89999999991</v>
      </c>
      <c r="F59" s="48">
        <f t="shared" si="4"/>
        <v>-42379.899999999907</v>
      </c>
      <c r="G59" s="107"/>
      <c r="H59" s="49">
        <f>SUM(D59+[2]Hoja1!$I$58)</f>
        <v>-463545.14000000013</v>
      </c>
      <c r="I59" s="66">
        <f>SUM(E59+[2]Hoja1!$J$58)</f>
        <v>3008556.11</v>
      </c>
      <c r="J59" s="50">
        <f t="shared" si="5"/>
        <v>-3472101.25</v>
      </c>
      <c r="K59" s="30"/>
      <c r="L59" s="34">
        <f>+D59+[5]COMPRES!$L$59</f>
        <v>690000</v>
      </c>
      <c r="M59" s="35">
        <f>+[6]IYE!AC60-1</f>
        <v>364272.89999999991</v>
      </c>
      <c r="N59" s="50">
        <f>SUM(L59-M59)</f>
        <v>325727.10000000009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x14ac:dyDescent="0.2">
      <c r="A60" s="39" t="s">
        <v>90</v>
      </c>
      <c r="C60" s="41"/>
      <c r="D60" s="116"/>
      <c r="E60" s="117">
        <f>+[6]IYE!AA61</f>
        <v>0</v>
      </c>
      <c r="F60" s="48">
        <f t="shared" si="4"/>
        <v>0</v>
      </c>
      <c r="G60" s="107"/>
      <c r="H60" s="49"/>
      <c r="I60" s="66"/>
      <c r="J60" s="50"/>
      <c r="K60" s="30"/>
      <c r="L60" s="47">
        <f>+D60+[5]COMPRES!$L$60</f>
        <v>0</v>
      </c>
      <c r="M60" s="35">
        <f>+[6]IYE!AC61</f>
        <v>0</v>
      </c>
      <c r="N60" s="50">
        <f>SUM(L60-M60)</f>
        <v>0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x14ac:dyDescent="0.2">
      <c r="B61" s="22" t="s">
        <v>91</v>
      </c>
      <c r="C61" s="41"/>
      <c r="D61" s="118">
        <f>SUM(D50:D60)</f>
        <v>132415874.51000001</v>
      </c>
      <c r="E61" s="119">
        <f>SUM(E50:E60)</f>
        <v>7123790.6899999995</v>
      </c>
      <c r="F61" s="60">
        <f t="shared" si="4"/>
        <v>125292083.82000001</v>
      </c>
      <c r="G61" s="61"/>
      <c r="H61" s="120">
        <f>SUM(H50:H59)</f>
        <v>818852363.71999991</v>
      </c>
      <c r="I61" s="119">
        <f>SUM(I50:I59)</f>
        <v>-21778659.171584144</v>
      </c>
      <c r="J61" s="63">
        <f>SUM(J50:J59)</f>
        <v>840631022.89158404</v>
      </c>
      <c r="K61" s="30"/>
      <c r="L61" s="118">
        <f>SUM(L50:L60)</f>
        <v>195653135.50999999</v>
      </c>
      <c r="M61" s="119">
        <f>SUM(M50:M60)-1</f>
        <v>68370084.440000013</v>
      </c>
      <c r="N61" s="63">
        <f t="shared" si="7"/>
        <v>127283051.06999998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x14ac:dyDescent="0.2">
      <c r="C62" s="23" t="s">
        <v>92</v>
      </c>
      <c r="D62" s="121">
        <f>SUM(D49+D61)</f>
        <v>321770595.70198095</v>
      </c>
      <c r="E62" s="122">
        <f>SUM(E49+E61)</f>
        <v>165623813.00000003</v>
      </c>
      <c r="F62" s="77">
        <f t="shared" si="4"/>
        <v>156146782.70198092</v>
      </c>
      <c r="G62" s="61"/>
      <c r="H62" s="123">
        <f>SUM(H49+H61)</f>
        <v>2316375592.1319809</v>
      </c>
      <c r="I62" s="122">
        <f>SUM(I49+I61)</f>
        <v>71663489.797975734</v>
      </c>
      <c r="J62" s="124">
        <f>SUM(J49+J61)</f>
        <v>2244712102.3340054</v>
      </c>
      <c r="K62" s="30"/>
      <c r="L62" s="121">
        <f>SUM(L49+L61)</f>
        <v>1569679424.9485466</v>
      </c>
      <c r="M62" s="122">
        <f>SUM(M49+M61)</f>
        <v>1441824947.0699999</v>
      </c>
      <c r="N62" s="125">
        <f t="shared" si="7"/>
        <v>127854477.87854671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x14ac:dyDescent="0.2">
      <c r="A63" s="89" t="s">
        <v>93</v>
      </c>
      <c r="C63" s="23"/>
      <c r="D63" s="34"/>
      <c r="E63" s="90"/>
      <c r="F63" s="36"/>
      <c r="G63" s="27"/>
      <c r="H63" s="34"/>
      <c r="I63" s="90"/>
      <c r="J63" s="36"/>
      <c r="K63" s="30"/>
      <c r="L63" s="34"/>
      <c r="M63" s="90"/>
      <c r="N63" s="36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x14ac:dyDescent="0.2">
      <c r="A64" s="39" t="s">
        <v>50</v>
      </c>
      <c r="C64" s="23"/>
      <c r="D64" s="64">
        <v>1112590</v>
      </c>
      <c r="E64" s="43">
        <f>SUM([6]rdo!E52)</f>
        <v>1112590</v>
      </c>
      <c r="F64" s="44">
        <f t="shared" si="4"/>
        <v>0</v>
      </c>
      <c r="G64" s="27"/>
      <c r="H64" s="64">
        <f>SUM(D64+[2]Hoja1!$I$61)</f>
        <v>31678136.969999999</v>
      </c>
      <c r="I64" s="43">
        <f>SUM(E64+[2]Hoja1!$J$61)</f>
        <v>4378802.290000001</v>
      </c>
      <c r="J64" s="44">
        <f t="shared" si="5"/>
        <v>27299334.68</v>
      </c>
      <c r="K64" s="30"/>
      <c r="L64" s="64">
        <f t="shared" ref="L64:L69" si="8">+M64</f>
        <v>2521082</v>
      </c>
      <c r="M64" s="43">
        <f>+[6]RDOACUM!AB51</f>
        <v>2521082</v>
      </c>
      <c r="N64" s="44">
        <f t="shared" ref="N64:N73" si="9">SUM(L64-M64)</f>
        <v>0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x14ac:dyDescent="0.2">
      <c r="A65" s="39" t="s">
        <v>53</v>
      </c>
      <c r="C65" s="23"/>
      <c r="D65" s="65">
        <v>2499328.94</v>
      </c>
      <c r="E65" s="66">
        <f>SUM([6]rdo!E53)-[6]IYE!AI89</f>
        <v>2499328.94</v>
      </c>
      <c r="F65" s="48">
        <f t="shared" si="4"/>
        <v>0</v>
      </c>
      <c r="G65" s="27"/>
      <c r="H65" s="65">
        <f>SUM(D65+[2]Hoja1!$I$63)</f>
        <v>11023708.939999999</v>
      </c>
      <c r="I65" s="35">
        <f>SUM(E65+[2]Hoja1!$J$63)</f>
        <v>11021189.939999999</v>
      </c>
      <c r="J65" s="48">
        <f t="shared" si="5"/>
        <v>2519</v>
      </c>
      <c r="K65" s="30"/>
      <c r="L65" s="126">
        <f t="shared" si="8"/>
        <v>16923482</v>
      </c>
      <c r="M65" s="35">
        <f>+[6]IYE!AC67</f>
        <v>16923482</v>
      </c>
      <c r="N65" s="48">
        <f t="shared" si="9"/>
        <v>0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x14ac:dyDescent="0.2">
      <c r="A66" s="39" t="s">
        <v>94</v>
      </c>
      <c r="C66" s="23"/>
      <c r="D66" s="65">
        <v>943828.12</v>
      </c>
      <c r="E66" s="66">
        <f>SUM([6]rdo!E54)</f>
        <v>943828.12</v>
      </c>
      <c r="F66" s="48">
        <f t="shared" si="4"/>
        <v>0</v>
      </c>
      <c r="G66" s="27"/>
      <c r="H66" s="65" t="e">
        <f>SUM(D66+[2]Hoja1!$I$64)</f>
        <v>#REF!</v>
      </c>
      <c r="I66" s="35" t="e">
        <f>SUM(E66+[2]Hoja1!$J$64)</f>
        <v>#REF!</v>
      </c>
      <c r="J66" s="48" t="e">
        <f t="shared" si="5"/>
        <v>#REF!</v>
      </c>
      <c r="K66" s="30"/>
      <c r="L66" s="126">
        <f t="shared" si="8"/>
        <v>11214025.84</v>
      </c>
      <c r="M66" s="35">
        <f>+[6]RDOACUM!AB53</f>
        <v>11214025.84</v>
      </c>
      <c r="N66" s="48">
        <f t="shared" si="9"/>
        <v>0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x14ac:dyDescent="0.2">
      <c r="A67" s="39" t="s">
        <v>60</v>
      </c>
      <c r="C67" s="23"/>
      <c r="D67" s="65">
        <v>447929.95</v>
      </c>
      <c r="E67" s="66">
        <f>SUM([6]rdo!E55)</f>
        <v>447929.95</v>
      </c>
      <c r="F67" s="48">
        <f t="shared" si="4"/>
        <v>0</v>
      </c>
      <c r="G67" s="27"/>
      <c r="H67" s="65">
        <f>SUM(D67+[2]Hoja1!$I$65)</f>
        <v>10954655.52</v>
      </c>
      <c r="I67" s="35">
        <f>SUM(E67+[2]Hoja1!$J$65)</f>
        <v>450448.95</v>
      </c>
      <c r="J67" s="48">
        <f t="shared" si="5"/>
        <v>10504206.57</v>
      </c>
      <c r="K67" s="30"/>
      <c r="L67" s="126">
        <f t="shared" si="8"/>
        <v>4378535.72</v>
      </c>
      <c r="M67" s="35">
        <f>+[6]RDOACUM!AB54</f>
        <v>4378535.72</v>
      </c>
      <c r="N67" s="48">
        <f t="shared" si="9"/>
        <v>0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x14ac:dyDescent="0.2">
      <c r="A68" s="39" t="s">
        <v>95</v>
      </c>
      <c r="C68" s="23"/>
      <c r="D68" s="65">
        <v>0</v>
      </c>
      <c r="E68" s="66">
        <f>SUM([6]rdo!E56)</f>
        <v>0</v>
      </c>
      <c r="F68" s="48">
        <f t="shared" si="4"/>
        <v>0</v>
      </c>
      <c r="G68" s="27"/>
      <c r="H68" s="65">
        <f>SUM(D68+[2]Hoja1!$I$66)</f>
        <v>10183033.52</v>
      </c>
      <c r="I68" s="35">
        <f>SUM(E68+[2]Hoja1!$J$66)</f>
        <v>59</v>
      </c>
      <c r="J68" s="48">
        <f t="shared" si="5"/>
        <v>10182974.52</v>
      </c>
      <c r="K68" s="30"/>
      <c r="L68" s="51">
        <f t="shared" si="8"/>
        <v>0</v>
      </c>
      <c r="M68" s="52">
        <f>+[6]RDOACUM!AB55</f>
        <v>0</v>
      </c>
      <c r="N68" s="48">
        <f t="shared" si="9"/>
        <v>0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x14ac:dyDescent="0.2">
      <c r="A69" s="39" t="s">
        <v>63</v>
      </c>
      <c r="C69" s="23"/>
      <c r="D69" s="65">
        <v>524935.82999999996</v>
      </c>
      <c r="E69" s="66">
        <f>SUM([6]rdo!E57)</f>
        <v>524935.82999999996</v>
      </c>
      <c r="F69" s="48">
        <f t="shared" si="4"/>
        <v>0</v>
      </c>
      <c r="G69" s="27"/>
      <c r="H69" s="65">
        <f>SUM(D69+[2]Hoja1!$I$67)</f>
        <v>1528254.04</v>
      </c>
      <c r="I69" s="35">
        <f>SUM(E69+[2]Hoja1!$J$67)</f>
        <v>525097.82999999996</v>
      </c>
      <c r="J69" s="48">
        <f t="shared" si="5"/>
        <v>1003156.2100000001</v>
      </c>
      <c r="K69" s="30"/>
      <c r="L69" s="126">
        <f t="shared" si="8"/>
        <v>8066640.5999999996</v>
      </c>
      <c r="M69" s="35">
        <f>+[6]RDOACUM!AB56</f>
        <v>8066640.5999999996</v>
      </c>
      <c r="N69" s="48">
        <f t="shared" si="9"/>
        <v>0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x14ac:dyDescent="0.2">
      <c r="B70" s="22" t="s">
        <v>96</v>
      </c>
      <c r="C70" s="23"/>
      <c r="D70" s="127">
        <f>SUM(D64:D69)</f>
        <v>5528612.8399999999</v>
      </c>
      <c r="E70" s="128">
        <f>SUM(E64:E69)</f>
        <v>5528612.8399999999</v>
      </c>
      <c r="F70" s="129">
        <f t="shared" si="4"/>
        <v>0</v>
      </c>
      <c r="G70" s="61"/>
      <c r="H70" s="130" t="e">
        <f>SUM(H64:H69)</f>
        <v>#REF!</v>
      </c>
      <c r="I70" s="128" t="e">
        <f>SUM(I64:I69)</f>
        <v>#REF!</v>
      </c>
      <c r="J70" s="131" t="e">
        <f t="shared" si="5"/>
        <v>#REF!</v>
      </c>
      <c r="K70" s="30"/>
      <c r="L70" s="127">
        <f>SUM(L64:L69)</f>
        <v>43103766.160000004</v>
      </c>
      <c r="M70" s="128">
        <f>SUM(M64:M69)</f>
        <v>43103766.160000004</v>
      </c>
      <c r="N70" s="131">
        <f t="shared" si="9"/>
        <v>0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x14ac:dyDescent="0.2">
      <c r="A71" s="39" t="s">
        <v>81</v>
      </c>
      <c r="B71" s="22"/>
      <c r="C71" s="23"/>
      <c r="D71" s="64">
        <f>+E71</f>
        <v>956444.66</v>
      </c>
      <c r="E71" s="43">
        <f>+[6]IYE!AA73</f>
        <v>956444.66</v>
      </c>
      <c r="F71" s="44">
        <f t="shared" si="4"/>
        <v>0</v>
      </c>
      <c r="G71" s="27"/>
      <c r="H71" s="64">
        <f>SUM(D71+[2]Hoja1!$I$69)</f>
        <v>7320367.29</v>
      </c>
      <c r="I71" s="43">
        <f>SUM(E71+[2]Hoja1!$J$69)</f>
        <v>956562.66</v>
      </c>
      <c r="J71" s="44">
        <f>SUM(H71-I71)</f>
        <v>6363804.6299999999</v>
      </c>
      <c r="K71" s="30"/>
      <c r="L71" s="64">
        <f>+M71</f>
        <v>6326612.6600000001</v>
      </c>
      <c r="M71" s="43">
        <f>+[6]IYE!AC73</f>
        <v>6326612.6600000001</v>
      </c>
      <c r="N71" s="44">
        <f t="shared" si="9"/>
        <v>0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x14ac:dyDescent="0.2">
      <c r="A72" s="39" t="s">
        <v>97</v>
      </c>
      <c r="C72" s="23"/>
      <c r="D72" s="65">
        <f>+E72</f>
        <v>1345964.74</v>
      </c>
      <c r="E72" s="66">
        <f>+[6]IYE!AA74</f>
        <v>1345964.74</v>
      </c>
      <c r="F72" s="48">
        <f t="shared" si="4"/>
        <v>0</v>
      </c>
      <c r="G72" s="27"/>
      <c r="H72" s="49" t="e">
        <f>SUM(D72+[2]Hoja1!$I$70)</f>
        <v>#REF!</v>
      </c>
      <c r="I72" s="35" t="e">
        <f>SUM(E72+[2]Hoja1!$J$70)</f>
        <v>#REF!</v>
      </c>
      <c r="J72" s="50" t="e">
        <f t="shared" si="5"/>
        <v>#REF!</v>
      </c>
      <c r="K72" s="30"/>
      <c r="L72" s="126">
        <f>+M72</f>
        <v>23322795.829999998</v>
      </c>
      <c r="M72" s="35">
        <f>+[6]IYE!AC74</f>
        <v>23322795.829999998</v>
      </c>
      <c r="N72" s="50">
        <f t="shared" si="9"/>
        <v>0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x14ac:dyDescent="0.2">
      <c r="A73" s="39" t="s">
        <v>98</v>
      </c>
      <c r="C73" s="23"/>
      <c r="D73" s="65">
        <f>+E73</f>
        <v>0</v>
      </c>
      <c r="E73" s="66">
        <f>+[6]IYE!AA75</f>
        <v>0</v>
      </c>
      <c r="F73" s="48">
        <f t="shared" si="4"/>
        <v>0</v>
      </c>
      <c r="G73" s="27"/>
      <c r="H73" s="49">
        <f>SUM(D73+[2]Hoja1!$I$71)</f>
        <v>58016772.629999995</v>
      </c>
      <c r="I73" s="52">
        <f>SUM(E73+[2]Hoja1!$J$71)</f>
        <v>70</v>
      </c>
      <c r="J73" s="50">
        <f t="shared" si="5"/>
        <v>58016702.629999995</v>
      </c>
      <c r="K73" s="30"/>
      <c r="L73" s="51">
        <f>+M73</f>
        <v>0</v>
      </c>
      <c r="M73" s="52">
        <f>+[6]IYE!AC75</f>
        <v>0</v>
      </c>
      <c r="N73" s="50">
        <f t="shared" si="9"/>
        <v>0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x14ac:dyDescent="0.2">
      <c r="B74" s="22" t="s">
        <v>99</v>
      </c>
      <c r="C74" s="41"/>
      <c r="D74" s="127">
        <f>SUM(D71:D73)</f>
        <v>2302409.4</v>
      </c>
      <c r="E74" s="128">
        <f>SUM(E71:E73)</f>
        <v>2302409.4</v>
      </c>
      <c r="F74" s="129">
        <f>SUM(F71:F73)</f>
        <v>0</v>
      </c>
      <c r="G74" s="61"/>
      <c r="H74" s="130" t="e">
        <f>SUM(H71:H73)</f>
        <v>#REF!</v>
      </c>
      <c r="I74" s="128" t="e">
        <f>SUM(I71:I73)</f>
        <v>#REF!</v>
      </c>
      <c r="J74" s="131" t="e">
        <f t="shared" si="5"/>
        <v>#REF!</v>
      </c>
      <c r="K74" s="30"/>
      <c r="L74" s="127">
        <f>SUM(L71:L73)</f>
        <v>29649408.489999998</v>
      </c>
      <c r="M74" s="128">
        <f>SUM(M71:M73)</f>
        <v>29649408.489999998</v>
      </c>
      <c r="N74" s="131">
        <f>SUM(N71:N73)</f>
        <v>0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x14ac:dyDescent="0.2">
      <c r="B75" s="22"/>
      <c r="C75" s="23" t="s">
        <v>100</v>
      </c>
      <c r="D75" s="75">
        <f>SUM(D74,D70)</f>
        <v>7831022.2400000002</v>
      </c>
      <c r="E75" s="78">
        <f>SUM(E74,E70)</f>
        <v>7831022.2400000002</v>
      </c>
      <c r="F75" s="77">
        <f t="shared" si="4"/>
        <v>0</v>
      </c>
      <c r="G75" s="61"/>
      <c r="H75" s="78" t="e">
        <f>SUM(H74,H70)</f>
        <v>#REF!</v>
      </c>
      <c r="I75" s="78" t="e">
        <f>SUM(I74,I70)</f>
        <v>#REF!</v>
      </c>
      <c r="J75" s="79" t="e">
        <f t="shared" si="5"/>
        <v>#REF!</v>
      </c>
      <c r="K75" s="30"/>
      <c r="L75" s="75">
        <f>SUM(L74,L70)+1</f>
        <v>72753175.650000006</v>
      </c>
      <c r="M75" s="78">
        <f>SUM(M74,M70)+1</f>
        <v>72753175.650000006</v>
      </c>
      <c r="N75" s="79">
        <f>SUM(L75-M75)</f>
        <v>0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x14ac:dyDescent="0.2">
      <c r="C76" s="41"/>
      <c r="D76" s="34"/>
      <c r="E76" s="35"/>
      <c r="F76" s="36"/>
      <c r="G76" s="27"/>
      <c r="H76" s="37"/>
      <c r="I76" s="35"/>
      <c r="J76" s="38"/>
      <c r="K76" s="30"/>
      <c r="L76" s="34"/>
      <c r="M76" s="35"/>
      <c r="N76" s="3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x14ac:dyDescent="0.2">
      <c r="C77" s="23" t="s">
        <v>101</v>
      </c>
      <c r="D77" s="75">
        <f>SUM(D62+D75)</f>
        <v>329601617.94198096</v>
      </c>
      <c r="E77" s="76">
        <f>SUM(E62+E75)</f>
        <v>173454835.24000004</v>
      </c>
      <c r="F77" s="77">
        <f>SUM(F62+F75)</f>
        <v>156146782.70198092</v>
      </c>
      <c r="G77" s="27"/>
      <c r="H77" s="78" t="e">
        <f>SUM(H62+H75)</f>
        <v>#REF!</v>
      </c>
      <c r="I77" s="76" t="e">
        <f>SUM(I62+I75)</f>
        <v>#REF!</v>
      </c>
      <c r="J77" s="125" t="e">
        <f>SUM(J62+J75)</f>
        <v>#REF!</v>
      </c>
      <c r="K77" s="30"/>
      <c r="L77" s="132">
        <f>SUM(L62+L75)-1</f>
        <v>1642432599.5985467</v>
      </c>
      <c r="M77" s="133">
        <f>SUM(M62+M75)-1</f>
        <v>1514578121.72</v>
      </c>
      <c r="N77" s="125">
        <f>SUM(N62+N75)</f>
        <v>127854477.87854671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2.75" thickBot="1" x14ac:dyDescent="0.25">
      <c r="A78" s="134" t="s">
        <v>102</v>
      </c>
      <c r="B78" s="135"/>
      <c r="C78" s="136"/>
      <c r="D78" s="137"/>
      <c r="E78" s="138">
        <f>+E30-E77</f>
        <v>-26241307.240000039</v>
      </c>
      <c r="F78" s="139"/>
      <c r="G78" s="140"/>
      <c r="H78" s="141"/>
      <c r="I78" s="142" t="e">
        <f>SUM(I30-I77)</f>
        <v>#REF!</v>
      </c>
      <c r="J78" s="143"/>
      <c r="K78" s="144"/>
      <c r="L78" s="137"/>
      <c r="M78" s="138">
        <f>+M30-M77-1</f>
        <v>117108807.37999988</v>
      </c>
      <c r="N78" s="14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x14ac:dyDescent="0.2">
      <c r="A79" s="145"/>
      <c r="B79" s="1"/>
      <c r="C79" s="1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x14ac:dyDescent="0.2">
      <c r="A80" s="145"/>
      <c r="B80" s="145"/>
      <c r="C80" s="145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x14ac:dyDescent="0.2">
      <c r="A81" s="1"/>
      <c r="B81" s="145"/>
      <c r="C81" s="145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x14ac:dyDescent="0.2">
      <c r="L82" s="147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x14ac:dyDescent="0.2">
      <c r="L83" s="147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x14ac:dyDescent="0.2"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x14ac:dyDescent="0.2"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x14ac:dyDescent="0.2"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x14ac:dyDescent="0.2"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x14ac:dyDescent="0.2"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x14ac:dyDescent="0.2"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x14ac:dyDescent="0.2"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x14ac:dyDescent="0.2"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x14ac:dyDescent="0.2"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x14ac:dyDescent="0.2"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x14ac:dyDescent="0.2"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x14ac:dyDescent="0.2"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x14ac:dyDescent="0.2"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5:33" x14ac:dyDescent="0.2"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5:33" x14ac:dyDescent="0.2"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5:33" x14ac:dyDescent="0.2"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5:33" x14ac:dyDescent="0.2"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5:33" x14ac:dyDescent="0.2"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5:33" x14ac:dyDescent="0.2"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5:33" x14ac:dyDescent="0.2"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5:33" x14ac:dyDescent="0.2"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5:33" x14ac:dyDescent="0.2"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5:33" x14ac:dyDescent="0.2"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5:33" x14ac:dyDescent="0.2"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5:33" x14ac:dyDescent="0.2"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5:33" x14ac:dyDescent="0.2"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5:33" x14ac:dyDescent="0.2"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5:33" x14ac:dyDescent="0.2"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5:33" x14ac:dyDescent="0.2"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5:33" x14ac:dyDescent="0.2"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5:33" x14ac:dyDescent="0.2"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5:33" x14ac:dyDescent="0.2"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5:33" x14ac:dyDescent="0.2"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5:33" x14ac:dyDescent="0.2"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5:33" x14ac:dyDescent="0.2"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5:33" x14ac:dyDescent="0.2"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5:33" x14ac:dyDescent="0.2"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5:33" x14ac:dyDescent="0.2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5:33" x14ac:dyDescent="0.2"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5:33" x14ac:dyDescent="0.2"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5:33" x14ac:dyDescent="0.2"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5:33" x14ac:dyDescent="0.2"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5:33" x14ac:dyDescent="0.2"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5:33" x14ac:dyDescent="0.2"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5:33" x14ac:dyDescent="0.2"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5:33" x14ac:dyDescent="0.2"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5:33" x14ac:dyDescent="0.2"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5:33" x14ac:dyDescent="0.2"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5:33" x14ac:dyDescent="0.2"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5:33" x14ac:dyDescent="0.2"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5:33" x14ac:dyDescent="0.2"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5:33" x14ac:dyDescent="0.2"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5:33" x14ac:dyDescent="0.2"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5:33" x14ac:dyDescent="0.2"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5:33" x14ac:dyDescent="0.2"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5:33" x14ac:dyDescent="0.2"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5:33" x14ac:dyDescent="0.2"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5:33" x14ac:dyDescent="0.2"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5:33" x14ac:dyDescent="0.2"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5:33" x14ac:dyDescent="0.2"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5:33" x14ac:dyDescent="0.2"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</sheetData>
  <mergeCells count="5">
    <mergeCell ref="A1:N1"/>
    <mergeCell ref="A2:N2"/>
    <mergeCell ref="A3:N3"/>
    <mergeCell ref="D5:F5"/>
    <mergeCell ref="L5:N5"/>
  </mergeCells>
  <pageMargins left="0.94488188976377963" right="0.74803149606299213" top="0.70866141732283472" bottom="0.74803149606299213" header="0" footer="0"/>
  <pageSetup scale="74" orientation="portrait" r:id="rId1"/>
  <headerFooter alignWithMargins="0"/>
  <ignoredErrors>
    <ignoredError sqref="N9 L9:L11 N74 L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PRESUPUESTAL POR FONDO OCT</vt:lpstr>
      <vt:lpstr>PRESUPUESTAL POR FONDO NOV</vt:lpstr>
      <vt:lpstr>PRESUPUESTAL POR FONDO DIC</vt:lpstr>
      <vt:lpstr>'PRESUPUESTAL POR FONDO DIC'!Área_de_impresión</vt:lpstr>
      <vt:lpstr>'PRESUPUESTAL POR FONDO NOV'!Área_de_impresión</vt:lpstr>
      <vt:lpstr>'PRESUPUESTAL POR FONDO OCT'!Área_de_impresión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2012-01-24T16:22:25Z</dcterms:created>
  <dcterms:modified xsi:type="dcterms:W3CDTF">2012-01-24T21:35:46Z</dcterms:modified>
</cp:coreProperties>
</file>