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0730" windowHeight="9750"/>
  </bookViews>
  <sheets>
    <sheet name="Octubre" sheetId="2" r:id="rId1"/>
    <sheet name="Noviembre" sheetId="1" r:id="rId2"/>
    <sheet name="Diciembre" sheetId="3" r:id="rId3"/>
  </sheets>
  <externalReferences>
    <externalReference r:id="rId4"/>
    <externalReference r:id="rId5"/>
    <externalReference r:id="rId6"/>
  </externalReferences>
  <definedNames>
    <definedName name="_xlnm.Print_Area" localSheetId="2">Diciembre!$A$1:$J$76</definedName>
    <definedName name="_xlnm.Print_Area" localSheetId="1">Noviembre!$A$1:$J$76</definedName>
    <definedName name="_xlnm.Print_Area" localSheetId="0">Octubre!$A$1:$K$76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I76" i="3" l="1"/>
  <c r="E76" i="3"/>
  <c r="I75" i="3"/>
  <c r="E75" i="3"/>
  <c r="I73" i="3"/>
  <c r="E73" i="3"/>
  <c r="E72" i="3"/>
  <c r="I71" i="3"/>
  <c r="E71" i="3"/>
  <c r="F71" i="3" s="1"/>
  <c r="I70" i="3"/>
  <c r="H70" i="3"/>
  <c r="E70" i="3"/>
  <c r="I69" i="3"/>
  <c r="I72" i="3" s="1"/>
  <c r="H69" i="3"/>
  <c r="E69" i="3"/>
  <c r="D69" i="3"/>
  <c r="I68" i="3"/>
  <c r="E68" i="3"/>
  <c r="I67" i="3"/>
  <c r="H67" i="3" s="1"/>
  <c r="E67" i="3"/>
  <c r="D67" i="3"/>
  <c r="I66" i="3"/>
  <c r="E66" i="3"/>
  <c r="F66" i="3" s="1"/>
  <c r="I65" i="3"/>
  <c r="H65" i="3"/>
  <c r="J65" i="3" s="1"/>
  <c r="E65" i="3"/>
  <c r="D65" i="3"/>
  <c r="F65" i="3" s="1"/>
  <c r="I64" i="3"/>
  <c r="H64" i="3"/>
  <c r="J64" i="3" s="1"/>
  <c r="E64" i="3"/>
  <c r="D64" i="3"/>
  <c r="F64" i="3" s="1"/>
  <c r="I63" i="3"/>
  <c r="H63" i="3"/>
  <c r="J63" i="3" s="1"/>
  <c r="E63" i="3"/>
  <c r="D63" i="3"/>
  <c r="F63" i="3" s="1"/>
  <c r="I62" i="3"/>
  <c r="H62" i="3"/>
  <c r="J62" i="3" s="1"/>
  <c r="E62" i="3"/>
  <c r="D62" i="3"/>
  <c r="D68" i="3" s="1"/>
  <c r="I60" i="3"/>
  <c r="E60" i="3"/>
  <c r="F60" i="3" s="1"/>
  <c r="I59" i="3"/>
  <c r="E59" i="3"/>
  <c r="F59" i="3" s="1"/>
  <c r="I58" i="3"/>
  <c r="J58" i="3" s="1"/>
  <c r="H58" i="3"/>
  <c r="E58" i="3"/>
  <c r="F58" i="3" s="1"/>
  <c r="J57" i="3"/>
  <c r="I57" i="3"/>
  <c r="H57" i="3"/>
  <c r="F57" i="3"/>
  <c r="E57" i="3"/>
  <c r="I56" i="3"/>
  <c r="H56" i="3"/>
  <c r="E56" i="3"/>
  <c r="F56" i="3" s="1"/>
  <c r="I55" i="3"/>
  <c r="H55" i="3"/>
  <c r="J55" i="3" s="1"/>
  <c r="F55" i="3"/>
  <c r="E55" i="3"/>
  <c r="J54" i="3"/>
  <c r="I54" i="3"/>
  <c r="H54" i="3"/>
  <c r="F54" i="3"/>
  <c r="E54" i="3"/>
  <c r="I53" i="3"/>
  <c r="H53" i="3"/>
  <c r="E53" i="3"/>
  <c r="F53" i="3" s="1"/>
  <c r="I52" i="3"/>
  <c r="H52" i="3"/>
  <c r="J52" i="3" s="1"/>
  <c r="F52" i="3"/>
  <c r="E52" i="3"/>
  <c r="J51" i="3"/>
  <c r="I51" i="3"/>
  <c r="H51" i="3"/>
  <c r="F51" i="3"/>
  <c r="E51" i="3"/>
  <c r="I50" i="3"/>
  <c r="H50" i="3"/>
  <c r="E50" i="3"/>
  <c r="F50" i="3" s="1"/>
  <c r="I49" i="3"/>
  <c r="H49" i="3"/>
  <c r="J49" i="3" s="1"/>
  <c r="F49" i="3"/>
  <c r="E49" i="3"/>
  <c r="J48" i="3"/>
  <c r="I48" i="3"/>
  <c r="H48" i="3"/>
  <c r="F48" i="3"/>
  <c r="E48" i="3"/>
  <c r="I47" i="3"/>
  <c r="E47" i="3"/>
  <c r="F47" i="3" s="1"/>
  <c r="I46" i="3"/>
  <c r="E46" i="3"/>
  <c r="F46" i="3" s="1"/>
  <c r="I45" i="3"/>
  <c r="J45" i="3" s="1"/>
  <c r="H45" i="3"/>
  <c r="E45" i="3"/>
  <c r="F45" i="3" s="1"/>
  <c r="I44" i="3"/>
  <c r="J44" i="3" s="1"/>
  <c r="H44" i="3"/>
  <c r="E44" i="3"/>
  <c r="F44" i="3" s="1"/>
  <c r="I43" i="3"/>
  <c r="H43" i="3"/>
  <c r="J43" i="3" s="1"/>
  <c r="F43" i="3"/>
  <c r="E43" i="3"/>
  <c r="I42" i="3"/>
  <c r="J42" i="3" s="1"/>
  <c r="H42" i="3"/>
  <c r="E42" i="3"/>
  <c r="F42" i="3" s="1"/>
  <c r="I41" i="3"/>
  <c r="J41" i="3" s="1"/>
  <c r="H41" i="3"/>
  <c r="E41" i="3"/>
  <c r="F41" i="3" s="1"/>
  <c r="J40" i="3"/>
  <c r="I40" i="3"/>
  <c r="H40" i="3"/>
  <c r="F40" i="3"/>
  <c r="E40" i="3"/>
  <c r="I39" i="3"/>
  <c r="H39" i="3"/>
  <c r="E39" i="3"/>
  <c r="F39" i="3" s="1"/>
  <c r="I38" i="3"/>
  <c r="H38" i="3"/>
  <c r="H46" i="3" s="1"/>
  <c r="E38" i="3"/>
  <c r="F38" i="3" s="1"/>
  <c r="I37" i="3"/>
  <c r="F37" i="3"/>
  <c r="E37" i="3"/>
  <c r="I36" i="3"/>
  <c r="H36" i="3"/>
  <c r="E36" i="3"/>
  <c r="F36" i="3" s="1"/>
  <c r="I35" i="3"/>
  <c r="H35" i="3"/>
  <c r="E35" i="3"/>
  <c r="F35" i="3" s="1"/>
  <c r="I34" i="3"/>
  <c r="H34" i="3"/>
  <c r="E34" i="3"/>
  <c r="F34" i="3" s="1"/>
  <c r="I33" i="3"/>
  <c r="J33" i="3" s="1"/>
  <c r="H33" i="3"/>
  <c r="E33" i="3"/>
  <c r="F33" i="3" s="1"/>
  <c r="I32" i="3"/>
  <c r="J32" i="3" s="1"/>
  <c r="H32" i="3"/>
  <c r="E32" i="3"/>
  <c r="F32" i="3" s="1"/>
  <c r="I29" i="3"/>
  <c r="I28" i="3"/>
  <c r="H28" i="3"/>
  <c r="E28" i="3"/>
  <c r="F28" i="3" s="1"/>
  <c r="I26" i="3"/>
  <c r="E26" i="3"/>
  <c r="I25" i="3"/>
  <c r="E25" i="3"/>
  <c r="F25" i="3" s="1"/>
  <c r="I24" i="3"/>
  <c r="J24" i="3" s="1"/>
  <c r="H24" i="3"/>
  <c r="E24" i="3"/>
  <c r="F24" i="3" s="1"/>
  <c r="I23" i="3"/>
  <c r="J23" i="3" s="1"/>
  <c r="H23" i="3"/>
  <c r="E23" i="3"/>
  <c r="F23" i="3" s="1"/>
  <c r="I22" i="3"/>
  <c r="H22" i="3"/>
  <c r="F22" i="3"/>
  <c r="E22" i="3"/>
  <c r="I21" i="3"/>
  <c r="H21" i="3"/>
  <c r="E21" i="3"/>
  <c r="F21" i="3" s="1"/>
  <c r="I20" i="3"/>
  <c r="H20" i="3"/>
  <c r="E20" i="3"/>
  <c r="F20" i="3" s="1"/>
  <c r="I19" i="3"/>
  <c r="H19" i="3"/>
  <c r="E19" i="3"/>
  <c r="F19" i="3" s="1"/>
  <c r="I18" i="3"/>
  <c r="J18" i="3" s="1"/>
  <c r="H18" i="3"/>
  <c r="E18" i="3"/>
  <c r="F18" i="3" s="1"/>
  <c r="I17" i="3"/>
  <c r="H17" i="3"/>
  <c r="J17" i="3" s="1"/>
  <c r="F17" i="3"/>
  <c r="E17" i="3"/>
  <c r="J16" i="3"/>
  <c r="I16" i="3"/>
  <c r="H16" i="3"/>
  <c r="F16" i="3"/>
  <c r="E16" i="3"/>
  <c r="I15" i="3"/>
  <c r="E15" i="3"/>
  <c r="I14" i="3"/>
  <c r="H14" i="3" s="1"/>
  <c r="E14" i="3"/>
  <c r="D14" i="3" s="1"/>
  <c r="I13" i="3"/>
  <c r="H13" i="3" s="1"/>
  <c r="E13" i="3"/>
  <c r="D13" i="3" s="1"/>
  <c r="I12" i="3"/>
  <c r="H12" i="3" s="1"/>
  <c r="E12" i="3"/>
  <c r="D12" i="3" s="1"/>
  <c r="I11" i="3"/>
  <c r="H11" i="3" s="1"/>
  <c r="E11" i="3"/>
  <c r="D11" i="3" s="1"/>
  <c r="E10" i="3"/>
  <c r="F10" i="3" s="1"/>
  <c r="I9" i="3"/>
  <c r="J9" i="3" s="1"/>
  <c r="H9" i="3"/>
  <c r="E9" i="3"/>
  <c r="F9" i="3" s="1"/>
  <c r="I8" i="3"/>
  <c r="H8" i="3"/>
  <c r="J8" i="3" s="1"/>
  <c r="F8" i="3"/>
  <c r="E8" i="3"/>
  <c r="I7" i="3"/>
  <c r="J7" i="3" s="1"/>
  <c r="H7" i="3"/>
  <c r="H10" i="3" s="1"/>
  <c r="E7" i="3"/>
  <c r="F7" i="3" s="1"/>
  <c r="F62" i="3" l="1"/>
  <c r="J67" i="3"/>
  <c r="H25" i="3"/>
  <c r="J25" i="3" s="1"/>
  <c r="J19" i="3"/>
  <c r="J20" i="3"/>
  <c r="J21" i="3"/>
  <c r="J22" i="3"/>
  <c r="J28" i="3"/>
  <c r="H37" i="3"/>
  <c r="J37" i="3" s="1"/>
  <c r="J34" i="3"/>
  <c r="J35" i="3"/>
  <c r="J36" i="3"/>
  <c r="J38" i="3"/>
  <c r="J39" i="3"/>
  <c r="H59" i="3"/>
  <c r="J59" i="3" s="1"/>
  <c r="J50" i="3"/>
  <c r="J53" i="3"/>
  <c r="J56" i="3"/>
  <c r="H66" i="3"/>
  <c r="J66" i="3" s="1"/>
  <c r="F67" i="3"/>
  <c r="F69" i="3"/>
  <c r="D70" i="3"/>
  <c r="F70" i="3" s="1"/>
  <c r="J70" i="3"/>
  <c r="D15" i="3"/>
  <c r="D26" i="3" s="1"/>
  <c r="H26" i="3"/>
  <c r="H47" i="3"/>
  <c r="H60" i="3" s="1"/>
  <c r="J46" i="3"/>
  <c r="H15" i="3"/>
  <c r="J15" i="3" s="1"/>
  <c r="J47" i="3"/>
  <c r="F68" i="3"/>
  <c r="J69" i="3"/>
  <c r="H71" i="3"/>
  <c r="J71" i="3" s="1"/>
  <c r="H73" i="3"/>
  <c r="J73" i="3" s="1"/>
  <c r="F11" i="3"/>
  <c r="F12" i="3"/>
  <c r="J13" i="3"/>
  <c r="E29" i="3"/>
  <c r="I10" i="3"/>
  <c r="J10" i="3" s="1"/>
  <c r="J11" i="3"/>
  <c r="J12" i="3"/>
  <c r="F13" i="3"/>
  <c r="F14" i="3"/>
  <c r="J14" i="3"/>
  <c r="F72" i="3" l="1"/>
  <c r="H68" i="3"/>
  <c r="J68" i="3" s="1"/>
  <c r="D72" i="3"/>
  <c r="D73" i="3" s="1"/>
  <c r="J72" i="3"/>
  <c r="H72" i="3"/>
  <c r="J60" i="3"/>
  <c r="J75" i="3" s="1"/>
  <c r="H75" i="3"/>
  <c r="D29" i="3"/>
  <c r="F29" i="3" s="1"/>
  <c r="F26" i="3"/>
  <c r="H29" i="3"/>
  <c r="J29" i="3" s="1"/>
  <c r="J26" i="3"/>
  <c r="F15" i="3"/>
  <c r="D75" i="3" l="1"/>
  <c r="F73" i="3"/>
  <c r="F75" i="3" s="1"/>
  <c r="E79" i="2" l="1"/>
  <c r="D72" i="2"/>
  <c r="J71" i="2"/>
  <c r="K71" i="2" s="1"/>
  <c r="I71" i="2"/>
  <c r="F71" i="2"/>
  <c r="K70" i="2"/>
  <c r="J70" i="2"/>
  <c r="I70" i="2"/>
  <c r="F70" i="2"/>
  <c r="D70" i="2"/>
  <c r="J69" i="2"/>
  <c r="K69" i="2" s="1"/>
  <c r="K72" i="2" s="1"/>
  <c r="I69" i="2"/>
  <c r="I72" i="2" s="1"/>
  <c r="D69" i="2"/>
  <c r="F69" i="2" s="1"/>
  <c r="F72" i="2" s="1"/>
  <c r="D68" i="2"/>
  <c r="D73" i="2" s="1"/>
  <c r="F73" i="2" s="1"/>
  <c r="K67" i="2"/>
  <c r="J67" i="2"/>
  <c r="I67" i="2"/>
  <c r="F67" i="2"/>
  <c r="D67" i="2"/>
  <c r="K66" i="2"/>
  <c r="F66" i="2"/>
  <c r="J65" i="2"/>
  <c r="K65" i="2" s="1"/>
  <c r="I65" i="2"/>
  <c r="D65" i="2"/>
  <c r="F65" i="2" s="1"/>
  <c r="K64" i="2"/>
  <c r="J64" i="2"/>
  <c r="I64" i="2"/>
  <c r="F64" i="2"/>
  <c r="D64" i="2"/>
  <c r="J63" i="2"/>
  <c r="K63" i="2" s="1"/>
  <c r="I63" i="2"/>
  <c r="D63" i="2"/>
  <c r="F63" i="2" s="1"/>
  <c r="J62" i="2"/>
  <c r="J68" i="2" s="1"/>
  <c r="I62" i="2"/>
  <c r="I68" i="2" s="1"/>
  <c r="I73" i="2" s="1"/>
  <c r="D62" i="2"/>
  <c r="F62" i="2" s="1"/>
  <c r="D59" i="2"/>
  <c r="F59" i="2" s="1"/>
  <c r="K58" i="2"/>
  <c r="F58" i="2"/>
  <c r="K57" i="2"/>
  <c r="J57" i="2"/>
  <c r="I57" i="2"/>
  <c r="F57" i="2"/>
  <c r="J56" i="2"/>
  <c r="K56" i="2" s="1"/>
  <c r="I56" i="2"/>
  <c r="F56" i="2"/>
  <c r="J55" i="2"/>
  <c r="K55" i="2" s="1"/>
  <c r="I55" i="2"/>
  <c r="F55" i="2"/>
  <c r="K54" i="2"/>
  <c r="J54" i="2"/>
  <c r="I54" i="2"/>
  <c r="F54" i="2"/>
  <c r="J53" i="2"/>
  <c r="K53" i="2" s="1"/>
  <c r="I53" i="2"/>
  <c r="F53" i="2"/>
  <c r="J52" i="2"/>
  <c r="K52" i="2" s="1"/>
  <c r="I52" i="2"/>
  <c r="F52" i="2"/>
  <c r="K51" i="2"/>
  <c r="J51" i="2"/>
  <c r="I51" i="2"/>
  <c r="F51" i="2"/>
  <c r="J50" i="2"/>
  <c r="K50" i="2" s="1"/>
  <c r="F50" i="2"/>
  <c r="J49" i="2"/>
  <c r="K49" i="2" s="1"/>
  <c r="I49" i="2"/>
  <c r="F49" i="2"/>
  <c r="J48" i="2"/>
  <c r="K48" i="2" s="1"/>
  <c r="I48" i="2"/>
  <c r="I59" i="2" s="1"/>
  <c r="F48" i="2"/>
  <c r="F46" i="2"/>
  <c r="J45" i="2"/>
  <c r="K45" i="2" s="1"/>
  <c r="I45" i="2"/>
  <c r="F45" i="2"/>
  <c r="J44" i="2"/>
  <c r="I44" i="2"/>
  <c r="K44" i="2" s="1"/>
  <c r="F44" i="2"/>
  <c r="K43" i="2"/>
  <c r="F43" i="2"/>
  <c r="J42" i="2"/>
  <c r="I42" i="2"/>
  <c r="K42" i="2" s="1"/>
  <c r="F42" i="2"/>
  <c r="J41" i="2"/>
  <c r="K41" i="2" s="1"/>
  <c r="I41" i="2"/>
  <c r="F41" i="2"/>
  <c r="J40" i="2"/>
  <c r="K40" i="2" s="1"/>
  <c r="I40" i="2"/>
  <c r="F40" i="2"/>
  <c r="J39" i="2"/>
  <c r="I39" i="2"/>
  <c r="K39" i="2" s="1"/>
  <c r="F39" i="2"/>
  <c r="J38" i="2"/>
  <c r="K38" i="2" s="1"/>
  <c r="I38" i="2"/>
  <c r="I46" i="2" s="1"/>
  <c r="F38" i="2"/>
  <c r="D37" i="2"/>
  <c r="F37" i="2" s="1"/>
  <c r="J36" i="2"/>
  <c r="K36" i="2" s="1"/>
  <c r="I36" i="2"/>
  <c r="F36" i="2"/>
  <c r="J35" i="2"/>
  <c r="K35" i="2" s="1"/>
  <c r="I35" i="2"/>
  <c r="F35" i="2"/>
  <c r="K34" i="2"/>
  <c r="J34" i="2"/>
  <c r="I34" i="2"/>
  <c r="F34" i="2"/>
  <c r="J33" i="2"/>
  <c r="K33" i="2" s="1"/>
  <c r="I33" i="2"/>
  <c r="F33" i="2"/>
  <c r="J32" i="2"/>
  <c r="K32" i="2" s="1"/>
  <c r="I32" i="2"/>
  <c r="I37" i="2" s="1"/>
  <c r="F32" i="2"/>
  <c r="E29" i="2"/>
  <c r="K28" i="2"/>
  <c r="J28" i="2"/>
  <c r="I28" i="2"/>
  <c r="F28" i="2"/>
  <c r="F25" i="2"/>
  <c r="D25" i="2"/>
  <c r="K24" i="2"/>
  <c r="J24" i="2"/>
  <c r="I24" i="2"/>
  <c r="F24" i="2"/>
  <c r="J23" i="2"/>
  <c r="I23" i="2"/>
  <c r="K23" i="2" s="1"/>
  <c r="F23" i="2"/>
  <c r="J22" i="2"/>
  <c r="K22" i="2" s="1"/>
  <c r="I22" i="2"/>
  <c r="F22" i="2"/>
  <c r="K21" i="2"/>
  <c r="J21" i="2"/>
  <c r="I21" i="2"/>
  <c r="F21" i="2"/>
  <c r="J20" i="2"/>
  <c r="I20" i="2"/>
  <c r="K20" i="2" s="1"/>
  <c r="F20" i="2"/>
  <c r="I19" i="2"/>
  <c r="K19" i="2" s="1"/>
  <c r="F19" i="2"/>
  <c r="J18" i="2"/>
  <c r="K18" i="2" s="1"/>
  <c r="I18" i="2"/>
  <c r="F18" i="2"/>
  <c r="K17" i="2"/>
  <c r="J17" i="2"/>
  <c r="I17" i="2"/>
  <c r="F17" i="2"/>
  <c r="J16" i="2"/>
  <c r="J25" i="2" s="1"/>
  <c r="I16" i="2"/>
  <c r="I25" i="2" s="1"/>
  <c r="I26" i="2" s="1"/>
  <c r="I29" i="2" s="1"/>
  <c r="F16" i="2"/>
  <c r="J14" i="2"/>
  <c r="I14" i="2"/>
  <c r="K14" i="2" s="1"/>
  <c r="F14" i="2"/>
  <c r="D14" i="2"/>
  <c r="J13" i="2"/>
  <c r="K13" i="2" s="1"/>
  <c r="I13" i="2"/>
  <c r="D13" i="2"/>
  <c r="F13" i="2" s="1"/>
  <c r="J12" i="2"/>
  <c r="K12" i="2" s="1"/>
  <c r="I12" i="2"/>
  <c r="D12" i="2"/>
  <c r="F12" i="2" s="1"/>
  <c r="K11" i="2"/>
  <c r="J11" i="2"/>
  <c r="I11" i="2"/>
  <c r="I15" i="2" s="1"/>
  <c r="F11" i="2"/>
  <c r="D11" i="2"/>
  <c r="J10" i="2"/>
  <c r="D10" i="2"/>
  <c r="F10" i="2" s="1"/>
  <c r="I9" i="2"/>
  <c r="K9" i="2" s="1"/>
  <c r="F9" i="2"/>
  <c r="I8" i="2"/>
  <c r="K8" i="2" s="1"/>
  <c r="F8" i="2"/>
  <c r="I7" i="2"/>
  <c r="I10" i="2" s="1"/>
  <c r="F7" i="2"/>
  <c r="K10" i="2" l="1"/>
  <c r="K25" i="2"/>
  <c r="I47" i="2"/>
  <c r="I60" i="2" s="1"/>
  <c r="I75" i="2" s="1"/>
  <c r="J73" i="2"/>
  <c r="K73" i="2" s="1"/>
  <c r="K68" i="2"/>
  <c r="K16" i="2"/>
  <c r="J37" i="2"/>
  <c r="K37" i="2" s="1"/>
  <c r="D47" i="2"/>
  <c r="K62" i="2"/>
  <c r="F68" i="2"/>
  <c r="J72" i="2"/>
  <c r="J15" i="2"/>
  <c r="K15" i="2" s="1"/>
  <c r="J46" i="2"/>
  <c r="J59" i="2"/>
  <c r="K59" i="2" s="1"/>
  <c r="D15" i="2"/>
  <c r="F15" i="2" s="1"/>
  <c r="K7" i="2"/>
  <c r="K46" i="2" l="1"/>
  <c r="J47" i="2"/>
  <c r="F47" i="2"/>
  <c r="D60" i="2"/>
  <c r="D26" i="2"/>
  <c r="J26" i="2"/>
  <c r="J29" i="2" l="1"/>
  <c r="K26" i="2"/>
  <c r="F26" i="2"/>
  <c r="D29" i="2"/>
  <c r="F29" i="2" s="1"/>
  <c r="K47" i="2"/>
  <c r="J60" i="2"/>
  <c r="D75" i="2"/>
  <c r="F60" i="2"/>
  <c r="F75" i="2" s="1"/>
  <c r="J75" i="2" l="1"/>
  <c r="K60" i="2"/>
  <c r="K75" i="2" s="1"/>
  <c r="J76" i="2"/>
  <c r="J79" i="2" s="1"/>
  <c r="K29" i="2"/>
  <c r="D73" i="1" l="1"/>
  <c r="F73" i="1" s="1"/>
  <c r="I72" i="1"/>
  <c r="H71" i="1"/>
  <c r="J71" i="1" s="1"/>
  <c r="F71" i="1"/>
  <c r="D71" i="1"/>
  <c r="H70" i="1"/>
  <c r="H72" i="1" s="1"/>
  <c r="D70" i="1"/>
  <c r="F70" i="1" s="1"/>
  <c r="J69" i="1"/>
  <c r="H69" i="1"/>
  <c r="D69" i="1"/>
  <c r="F69" i="1" s="1"/>
  <c r="F72" i="1" s="1"/>
  <c r="I68" i="1"/>
  <c r="I73" i="1" s="1"/>
  <c r="D68" i="1"/>
  <c r="F68" i="1" s="1"/>
  <c r="J67" i="1"/>
  <c r="H67" i="1"/>
  <c r="D67" i="1"/>
  <c r="F67" i="1" s="1"/>
  <c r="H66" i="1"/>
  <c r="J66" i="1" s="1"/>
  <c r="F66" i="1"/>
  <c r="D66" i="1"/>
  <c r="H65" i="1"/>
  <c r="J65" i="1" s="1"/>
  <c r="D65" i="1"/>
  <c r="F65" i="1" s="1"/>
  <c r="J64" i="1"/>
  <c r="H64" i="1"/>
  <c r="D64" i="1"/>
  <c r="F64" i="1" s="1"/>
  <c r="H63" i="1"/>
  <c r="J63" i="1" s="1"/>
  <c r="F63" i="1"/>
  <c r="D63" i="1"/>
  <c r="H62" i="1"/>
  <c r="J62" i="1" s="1"/>
  <c r="D62" i="1"/>
  <c r="F62" i="1" s="1"/>
  <c r="F60" i="1"/>
  <c r="I59" i="1"/>
  <c r="J59" i="1" s="1"/>
  <c r="H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F47" i="1"/>
  <c r="H46" i="1"/>
  <c r="F46" i="1"/>
  <c r="J45" i="1"/>
  <c r="F45" i="1"/>
  <c r="I44" i="1"/>
  <c r="J44" i="1" s="1"/>
  <c r="F44" i="1"/>
  <c r="J43" i="1"/>
  <c r="F43" i="1"/>
  <c r="J42" i="1"/>
  <c r="F42" i="1"/>
  <c r="I41" i="1"/>
  <c r="I46" i="1" s="1"/>
  <c r="H41" i="1"/>
  <c r="F41" i="1"/>
  <c r="J40" i="1"/>
  <c r="I40" i="1"/>
  <c r="F40" i="1"/>
  <c r="J39" i="1"/>
  <c r="I39" i="1"/>
  <c r="F39" i="1"/>
  <c r="J38" i="1"/>
  <c r="I38" i="1"/>
  <c r="F38" i="1"/>
  <c r="F37" i="1"/>
  <c r="J36" i="1"/>
  <c r="F36" i="1"/>
  <c r="J35" i="1"/>
  <c r="F35" i="1"/>
  <c r="J34" i="1"/>
  <c r="F34" i="1"/>
  <c r="I33" i="1"/>
  <c r="I37" i="1" s="1"/>
  <c r="J37" i="1" s="1"/>
  <c r="F33" i="1"/>
  <c r="H32" i="1"/>
  <c r="H37" i="1" s="1"/>
  <c r="H47" i="1" s="1"/>
  <c r="H60" i="1" s="1"/>
  <c r="F32" i="1"/>
  <c r="E29" i="1"/>
  <c r="F29" i="1" s="1"/>
  <c r="J28" i="1"/>
  <c r="I28" i="1"/>
  <c r="F28" i="1"/>
  <c r="F26" i="1"/>
  <c r="H25" i="1"/>
  <c r="F25" i="1"/>
  <c r="I24" i="1"/>
  <c r="I25" i="1" s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F15" i="1"/>
  <c r="D15" i="1"/>
  <c r="I14" i="1"/>
  <c r="D14" i="1"/>
  <c r="F14" i="1" s="1"/>
  <c r="I13" i="1"/>
  <c r="J13" i="1" s="1"/>
  <c r="H13" i="1"/>
  <c r="D13" i="1"/>
  <c r="F13" i="1" s="1"/>
  <c r="J12" i="1"/>
  <c r="I12" i="1"/>
  <c r="H12" i="1"/>
  <c r="F12" i="1"/>
  <c r="D12" i="1"/>
  <c r="I11" i="1"/>
  <c r="D11" i="1"/>
  <c r="F11" i="1" s="1"/>
  <c r="I10" i="1"/>
  <c r="J10" i="1" s="1"/>
  <c r="H10" i="1"/>
  <c r="F10" i="1"/>
  <c r="J9" i="1"/>
  <c r="F9" i="1"/>
  <c r="J8" i="1"/>
  <c r="F8" i="1"/>
  <c r="J7" i="1"/>
  <c r="F7" i="1"/>
  <c r="J25" i="1" l="1"/>
  <c r="I47" i="1"/>
  <c r="J46" i="1"/>
  <c r="F75" i="1"/>
  <c r="H73" i="1"/>
  <c r="H75" i="1" s="1"/>
  <c r="H11" i="1"/>
  <c r="H15" i="1" s="1"/>
  <c r="H26" i="1" s="1"/>
  <c r="H29" i="1" s="1"/>
  <c r="H14" i="1"/>
  <c r="J14" i="1" s="1"/>
  <c r="I15" i="1"/>
  <c r="J32" i="1"/>
  <c r="J33" i="1"/>
  <c r="H68" i="1"/>
  <c r="J68" i="1" s="1"/>
  <c r="J24" i="1"/>
  <c r="J41" i="1"/>
  <c r="J70" i="1"/>
  <c r="J72" i="1" s="1"/>
  <c r="J15" i="1" l="1"/>
  <c r="J47" i="1"/>
  <c r="I60" i="1"/>
  <c r="I26" i="1"/>
  <c r="J73" i="1"/>
  <c r="J11" i="1"/>
  <c r="I29" i="1" l="1"/>
  <c r="J26" i="1"/>
  <c r="J60" i="1"/>
  <c r="J75" i="1" s="1"/>
  <c r="I75" i="1"/>
  <c r="I76" i="1" l="1"/>
  <c r="J29" i="1"/>
</calcChain>
</file>

<file path=xl/sharedStrings.xml><?xml version="1.0" encoding="utf-8"?>
<sst xmlns="http://schemas.openxmlformats.org/spreadsheetml/2006/main" count="295" uniqueCount="115">
  <si>
    <t>UNIVERSIDAD AUTÓNOMA DE CHIHUAHUA</t>
  </si>
  <si>
    <t>COMPARATIVO PRESUPUESTAL POR FONDOS</t>
  </si>
  <si>
    <t xml:space="preserve"> AL 30 DE NOVIEMBRE DE 2014</t>
  </si>
  <si>
    <t>NOVIEMBRE</t>
  </si>
  <si>
    <t>ACUMULADO NOVIEMBRE</t>
  </si>
  <si>
    <t>PRESUPUESTO</t>
  </si>
  <si>
    <t>R E A L</t>
  </si>
  <si>
    <t>DIFERENCIA</t>
  </si>
  <si>
    <t>I  N  G  R  E  S  O  S:</t>
  </si>
  <si>
    <t>Subsidio Federal</t>
  </si>
  <si>
    <t>I</t>
  </si>
  <si>
    <t>Subsidio Federal Extraordinario</t>
  </si>
  <si>
    <t>Subsidio Estatal</t>
  </si>
  <si>
    <t>SUMA SUBSIDIOS</t>
  </si>
  <si>
    <t>Recursos PIFI</t>
  </si>
  <si>
    <t>Recursos Promep</t>
  </si>
  <si>
    <t>Recursos FAM</t>
  </si>
  <si>
    <t>Recursos Convenios</t>
  </si>
  <si>
    <t>SUMA OTROS APOYOS FED.</t>
  </si>
  <si>
    <t>Insc., Coleg. y Exámenes Posgrado</t>
  </si>
  <si>
    <t>II</t>
  </si>
  <si>
    <t>Insc., Coleg. y Exámenes Licenciatura</t>
  </si>
  <si>
    <t>III</t>
  </si>
  <si>
    <t>Servicios Académicos y Profesionales</t>
  </si>
  <si>
    <t>Cuotas por Incorporación</t>
  </si>
  <si>
    <t>IV</t>
  </si>
  <si>
    <t>Donativos en Efectivo</t>
  </si>
  <si>
    <t>Impuesto Universitario Municipal</t>
  </si>
  <si>
    <t>V</t>
  </si>
  <si>
    <t>Rendimientos Financieros</t>
  </si>
  <si>
    <t>VI</t>
  </si>
  <si>
    <t>Venta de Productos</t>
  </si>
  <si>
    <t>Otros Ingresos</t>
  </si>
  <si>
    <t>VII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</si>
  <si>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</si>
  <si>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</si>
  <si>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</si>
  <si>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</si>
  <si>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</si>
  <si>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</si>
  <si>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</si>
  <si>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VIII</t>
  </si>
  <si>
    <t>Servicios Generales</t>
  </si>
  <si>
    <t>IX</t>
  </si>
  <si>
    <t>Materiales de Consumo</t>
  </si>
  <si>
    <t>X</t>
  </si>
  <si>
    <t>Mantenimiento y Conservación</t>
  </si>
  <si>
    <t>XI</t>
  </si>
  <si>
    <t>Apoyos</t>
  </si>
  <si>
    <t>XII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</si>
  <si>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</si>
  <si>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</si>
  <si>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</si>
  <si>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</si>
  <si>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</si>
  <si>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</si>
  <si>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</si>
  <si>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</si>
  <si>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</si>
  <si>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</si>
  <si>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</si>
  <si>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</si>
  <si>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</si>
  <si>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</si>
  <si>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</si>
  <si>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XIII</t>
  </si>
  <si>
    <t>Maquinaria</t>
  </si>
  <si>
    <t>Mobiliario y Equipo Oficina</t>
  </si>
  <si>
    <t>XIV</t>
  </si>
  <si>
    <t>Mobiliario y Equipo Académico</t>
  </si>
  <si>
    <t>Equipo de Transporte</t>
  </si>
  <si>
    <t>XV</t>
  </si>
  <si>
    <t>Equipo de Cómputo</t>
  </si>
  <si>
    <t>Pie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</si>
  <si>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</si>
  <si>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</si>
  <si>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</si>
  <si>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</si>
  <si>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</si>
  <si>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</si>
  <si>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</si>
  <si>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</si>
  <si>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</si>
  <si>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</si>
  <si>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</si>
  <si>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</si>
  <si>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</t>
  </si>
  <si>
    <t>AL 31 DE OCTUBRE DE 2014</t>
  </si>
  <si>
    <t>OCTUBRE</t>
  </si>
  <si>
    <t>ACUMULADO OCTUBRE</t>
  </si>
  <si>
    <t xml:space="preserve">lo mismo de todos los años </t>
  </si>
  <si>
    <t xml:space="preserve">fam , carrera docente , rformas estructurales ver lo de la revisión del mes de septiembre </t>
  </si>
  <si>
    <t>OK</t>
  </si>
  <si>
    <t>se presupuesto de mas a dism</t>
  </si>
  <si>
    <t xml:space="preserve">ver excel </t>
  </si>
  <si>
    <t xml:space="preserve">ligado a las inscripciones de licenciatura, ceneval </t>
  </si>
  <si>
    <t xml:space="preserve">incorporadas  pendiente </t>
  </si>
  <si>
    <t xml:space="preserve">por los pagos que no se han recibido en tiempo </t>
  </si>
  <si>
    <t xml:space="preserve">lo de filosofia y letras </t>
  </si>
  <si>
    <t>sueldos , pensiones , ideminizaciones, estimulos al desempeño dice jucio 888</t>
  </si>
  <si>
    <t xml:space="preserve">por lo del aniversario  y los honorariso </t>
  </si>
  <si>
    <t xml:space="preserve">softwere , mantenimiento de laboratorio compra de monitos </t>
  </si>
  <si>
    <t>lo del año pasado de gobierno</t>
  </si>
  <si>
    <t xml:space="preserve">ajuste </t>
  </si>
  <si>
    <t>Pié de Cría</t>
  </si>
  <si>
    <t>(DÉFICIT)</t>
  </si>
  <si>
    <t>Cambiar titulos del mes</t>
  </si>
  <si>
    <t xml:space="preserve">Cambiar fomula del presupuesto del mes </t>
  </si>
  <si>
    <t>Cambiar formula del presupuesto  acumulado</t>
  </si>
  <si>
    <t>Verificar saldo REAL vs Estado de ingresos y egresos</t>
  </si>
  <si>
    <t xml:space="preserve">Real acumulado modificar formula para acumular el mes </t>
  </si>
  <si>
    <t xml:space="preserve"> AL 31 DE DICIEMBRE DE 2014</t>
  </si>
  <si>
    <t>DICIEMBRE</t>
  </si>
  <si>
    <t>ACUMULADO DICIEMBRE</t>
  </si>
  <si>
    <t>Subsidio Estatal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</si>
</sst>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-[$$-80A]* #,##0_-;\-[$$-80A]* #,##0_-;_-[$$-80A]* &quot;-&quot;??_-;_-@_-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00000"/>
    <numFmt numFmtId="170" formatCode="_-&quot;$&quot;* #,##0_-;\-&quot;$&quot;* #,##0_-;_-&quot;$&quot;* &quot;-&quot;??_-;_-@_-"/>
    <numFmt numFmtId="171" formatCode="#,##0.000000"/>
    <numFmt numFmtId="172" formatCode="_-* #,##0_-;\-* #,##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</cellStyleXfs>
  <cellXfs count="218"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1" xfId="0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6" fillId="0" borderId="13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0" fontId="0" fillId="0" borderId="0" xfId="0" applyFill="1" applyBorder="1"/>
    <xf numFmtId="3" fontId="6" fillId="0" borderId="16" xfId="1" applyNumberFormat="1" applyFont="1" applyFill="1" applyBorder="1" applyAlignment="1">
      <alignment horizontal="center"/>
    </xf>
    <xf numFmtId="3" fontId="6" fillId="0" borderId="17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3" fontId="8" fillId="0" borderId="5" xfId="1" applyNumberFormat="1" applyFont="1" applyBorder="1"/>
    <xf numFmtId="3" fontId="8" fillId="0" borderId="19" xfId="1" applyNumberFormat="1" applyFont="1" applyBorder="1"/>
    <xf numFmtId="3" fontId="8" fillId="0" borderId="6" xfId="1" applyNumberFormat="1" applyFont="1" applyBorder="1"/>
    <xf numFmtId="0" fontId="0" fillId="0" borderId="0" xfId="0" applyBorder="1"/>
    <xf numFmtId="3" fontId="8" fillId="0" borderId="20" xfId="1" applyNumberFormat="1" applyFont="1" applyBorder="1"/>
    <xf numFmtId="3" fontId="8" fillId="0" borderId="21" xfId="1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166" fontId="8" fillId="0" borderId="5" xfId="2" applyNumberFormat="1" applyFont="1" applyFill="1" applyBorder="1"/>
    <xf numFmtId="167" fontId="8" fillId="0" borderId="19" xfId="2" applyNumberFormat="1" applyFont="1" applyBorder="1"/>
    <xf numFmtId="167" fontId="8" fillId="0" borderId="6" xfId="2" applyNumberFormat="1" applyFont="1" applyBorder="1"/>
    <xf numFmtId="0" fontId="5" fillId="0" borderId="22" xfId="3" applyFont="1" applyBorder="1" applyAlignment="1">
      <alignment horizontal="center"/>
    </xf>
    <xf numFmtId="167" fontId="8" fillId="0" borderId="20" xfId="2" applyNumberFormat="1" applyFont="1" applyFill="1" applyBorder="1"/>
    <xf numFmtId="167" fontId="8" fillId="0" borderId="19" xfId="2" applyNumberFormat="1" applyFont="1" applyFill="1" applyBorder="1"/>
    <xf numFmtId="167" fontId="8" fillId="0" borderId="21" xfId="2" applyNumberFormat="1" applyFont="1" applyFill="1" applyBorder="1"/>
    <xf numFmtId="168" fontId="8" fillId="0" borderId="5" xfId="1" applyNumberFormat="1" applyFont="1" applyFill="1" applyBorder="1"/>
    <xf numFmtId="168" fontId="8" fillId="0" borderId="19" xfId="1" applyNumberFormat="1" applyFont="1" applyBorder="1"/>
    <xf numFmtId="168" fontId="8" fillId="0" borderId="6" xfId="1" applyNumberFormat="1" applyFont="1" applyBorder="1"/>
    <xf numFmtId="168" fontId="8" fillId="0" borderId="20" xfId="1" applyNumberFormat="1" applyFont="1" applyFill="1" applyBorder="1"/>
    <xf numFmtId="168" fontId="8" fillId="17" borderId="19" xfId="1" applyNumberFormat="1" applyFont="1" applyFill="1" applyBorder="1"/>
    <xf numFmtId="168" fontId="8" fillId="17" borderId="21" xfId="1" applyNumberFormat="1" applyFont="1" applyFill="1" applyBorder="1"/>
    <xf numFmtId="3" fontId="9" fillId="0" borderId="23" xfId="1" applyNumberFormat="1" applyFont="1" applyBorder="1"/>
    <xf numFmtId="3" fontId="9" fillId="0" borderId="24" xfId="1" applyNumberFormat="1" applyFont="1" applyBorder="1"/>
    <xf numFmtId="168" fontId="9" fillId="0" borderId="25" xfId="1" applyNumberFormat="1" applyFont="1" applyBorder="1"/>
    <xf numFmtId="168" fontId="9" fillId="0" borderId="26" xfId="1" applyNumberFormat="1" applyFont="1" applyFill="1" applyBorder="1"/>
    <xf numFmtId="168" fontId="9" fillId="17" borderId="24" xfId="1" applyNumberFormat="1" applyFont="1" applyFill="1" applyBorder="1"/>
    <xf numFmtId="168" fontId="9" fillId="17" borderId="27" xfId="1" applyNumberFormat="1" applyFont="1" applyFill="1" applyBorder="1"/>
    <xf numFmtId="167" fontId="8" fillId="0" borderId="5" xfId="2" applyNumberFormat="1" applyFont="1" applyFill="1" applyBorder="1"/>
    <xf numFmtId="167" fontId="8" fillId="0" borderId="20" xfId="2" applyNumberFormat="1" applyFont="1" applyBorder="1"/>
    <xf numFmtId="167" fontId="8" fillId="17" borderId="19" xfId="2" applyNumberFormat="1" applyFont="1" applyFill="1" applyBorder="1"/>
    <xf numFmtId="168" fontId="8" fillId="0" borderId="20" xfId="1" applyNumberFormat="1" applyFont="1" applyBorder="1"/>
    <xf numFmtId="168" fontId="8" fillId="0" borderId="6" xfId="1" applyNumberFormat="1" applyFont="1" applyFill="1" applyBorder="1"/>
    <xf numFmtId="3" fontId="8" fillId="0" borderId="19" xfId="1" applyNumberFormat="1" applyFont="1" applyFill="1" applyBorder="1"/>
    <xf numFmtId="168" fontId="8" fillId="0" borderId="19" xfId="1" applyNumberFormat="1" applyFont="1" applyFill="1" applyBorder="1"/>
    <xf numFmtId="168" fontId="8" fillId="0" borderId="21" xfId="1" applyNumberFormat="1" applyFont="1" applyBorder="1"/>
    <xf numFmtId="168" fontId="9" fillId="0" borderId="24" xfId="1" applyNumberFormat="1" applyFont="1" applyFill="1" applyBorder="1"/>
    <xf numFmtId="168" fontId="9" fillId="0" borderId="27" xfId="1" applyNumberFormat="1" applyFont="1" applyBorder="1"/>
    <xf numFmtId="167" fontId="5" fillId="15" borderId="23" xfId="2" applyNumberFormat="1" applyFont="1" applyFill="1" applyBorder="1"/>
    <xf numFmtId="167" fontId="5" fillId="15" borderId="24" xfId="2" applyNumberFormat="1" applyFont="1" applyFill="1" applyBorder="1"/>
    <xf numFmtId="167" fontId="5" fillId="15" borderId="25" xfId="2" applyNumberFormat="1" applyFont="1" applyFill="1" applyBorder="1"/>
    <xf numFmtId="167" fontId="5" fillId="18" borderId="26" xfId="2" applyNumberFormat="1" applyFont="1" applyFill="1" applyBorder="1"/>
    <xf numFmtId="167" fontId="5" fillId="18" borderId="24" xfId="2" applyNumberFormat="1" applyFont="1" applyFill="1" applyBorder="1"/>
    <xf numFmtId="167" fontId="5" fillId="18" borderId="21" xfId="4" applyNumberFormat="1" applyFont="1" applyFill="1" applyBorder="1"/>
    <xf numFmtId="167" fontId="5" fillId="0" borderId="23" xfId="2" applyNumberFormat="1" applyFont="1" applyFill="1" applyBorder="1"/>
    <xf numFmtId="167" fontId="5" fillId="0" borderId="24" xfId="2" applyNumberFormat="1" applyFont="1" applyFill="1" applyBorder="1"/>
    <xf numFmtId="167" fontId="5" fillId="0" borderId="25" xfId="2" applyNumberFormat="1" applyFont="1" applyFill="1" applyBorder="1"/>
    <xf numFmtId="167" fontId="5" fillId="0" borderId="26" xfId="2" applyNumberFormat="1" applyFont="1" applyFill="1" applyBorder="1"/>
    <xf numFmtId="167" fontId="5" fillId="0" borderId="27" xfId="2" applyNumberFormat="1" applyFont="1" applyFill="1" applyBorder="1"/>
    <xf numFmtId="3" fontId="8" fillId="0" borderId="23" xfId="1" applyNumberFormat="1" applyFont="1" applyBorder="1"/>
    <xf numFmtId="3" fontId="8" fillId="0" borderId="24" xfId="1" applyNumberFormat="1" applyFont="1" applyBorder="1"/>
    <xf numFmtId="167" fontId="8" fillId="0" borderId="25" xfId="2" applyNumberFormat="1" applyFont="1" applyBorder="1"/>
    <xf numFmtId="167" fontId="5" fillId="18" borderId="27" xfId="4" applyNumberFormat="1" applyFont="1" applyFill="1" applyBorder="1"/>
    <xf numFmtId="0" fontId="10" fillId="0" borderId="5" xfId="0" applyFont="1" applyBorder="1"/>
    <xf numFmtId="169" fontId="8" fillId="0" borderId="5" xfId="1" applyNumberFormat="1" applyFont="1" applyBorder="1"/>
    <xf numFmtId="3" fontId="8" fillId="0" borderId="28" xfId="1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67" fontId="8" fillId="0" borderId="5" xfId="4" applyNumberFormat="1" applyFont="1" applyFill="1" applyBorder="1"/>
    <xf numFmtId="167" fontId="8" fillId="0" borderId="6" xfId="4" applyNumberFormat="1" applyFont="1" applyFill="1" applyBorder="1"/>
    <xf numFmtId="167" fontId="8" fillId="17" borderId="20" xfId="2" applyNumberFormat="1" applyFont="1" applyFill="1" applyBorder="1"/>
    <xf numFmtId="167" fontId="8" fillId="0" borderId="21" xfId="4" applyNumberFormat="1" applyFont="1" applyFill="1" applyBorder="1"/>
    <xf numFmtId="3" fontId="8" fillId="0" borderId="5" xfId="1" applyNumberFormat="1" applyFont="1" applyFill="1" applyBorder="1"/>
    <xf numFmtId="0" fontId="5" fillId="0" borderId="22" xfId="3" applyFont="1" applyFill="1" applyBorder="1" applyAlignment="1">
      <alignment horizontal="center"/>
    </xf>
    <xf numFmtId="168" fontId="8" fillId="0" borderId="21" xfId="1" applyNumberFormat="1" applyFont="1" applyFill="1" applyBorder="1"/>
    <xf numFmtId="167" fontId="8" fillId="19" borderId="5" xfId="4" applyNumberFormat="1" applyFont="1" applyFill="1" applyBorder="1"/>
    <xf numFmtId="167" fontId="8" fillId="19" borderId="28" xfId="4" applyNumberFormat="1" applyFont="1" applyFill="1" applyBorder="1"/>
    <xf numFmtId="167" fontId="8" fillId="19" borderId="6" xfId="4" applyNumberFormat="1" applyFont="1" applyFill="1" applyBorder="1"/>
    <xf numFmtId="168" fontId="8" fillId="17" borderId="20" xfId="1" applyNumberFormat="1" applyFont="1" applyFill="1" applyBorder="1"/>
    <xf numFmtId="168" fontId="8" fillId="0" borderId="5" xfId="1" applyNumberFormat="1" applyFont="1" applyBorder="1"/>
    <xf numFmtId="168" fontId="5" fillId="0" borderId="22" xfId="1" applyNumberFormat="1" applyFont="1" applyBorder="1" applyAlignment="1">
      <alignment horizontal="center"/>
    </xf>
    <xf numFmtId="3" fontId="8" fillId="0" borderId="14" xfId="1" applyNumberFormat="1" applyFont="1" applyBorder="1"/>
    <xf numFmtId="3" fontId="9" fillId="19" borderId="24" xfId="1" applyNumberFormat="1" applyFont="1" applyFill="1" applyBorder="1"/>
    <xf numFmtId="3" fontId="9" fillId="19" borderId="23" xfId="1" applyNumberFormat="1" applyFont="1" applyFill="1" applyBorder="1"/>
    <xf numFmtId="167" fontId="8" fillId="0" borderId="20" xfId="4" applyNumberFormat="1" applyFont="1" applyFill="1" applyBorder="1"/>
    <xf numFmtId="167" fontId="8" fillId="0" borderId="19" xfId="4" applyNumberFormat="1" applyFont="1" applyFill="1" applyBorder="1"/>
    <xf numFmtId="167" fontId="8" fillId="17" borderId="21" xfId="4" applyNumberFormat="1" applyFont="1" applyFill="1" applyBorder="1"/>
    <xf numFmtId="3" fontId="5" fillId="15" borderId="23" xfId="1" applyNumberFormat="1" applyFont="1" applyFill="1" applyBorder="1"/>
    <xf numFmtId="3" fontId="5" fillId="15" borderId="24" xfId="1" applyNumberFormat="1" applyFont="1" applyFill="1" applyBorder="1"/>
    <xf numFmtId="167" fontId="8" fillId="0" borderId="5" xfId="2" applyNumberFormat="1" applyFont="1" applyBorder="1"/>
    <xf numFmtId="168" fontId="9" fillId="19" borderId="23" xfId="1" applyNumberFormat="1" applyFont="1" applyFill="1" applyBorder="1"/>
    <xf numFmtId="168" fontId="9" fillId="19" borderId="24" xfId="1" applyNumberFormat="1" applyFont="1" applyFill="1" applyBorder="1"/>
    <xf numFmtId="168" fontId="9" fillId="19" borderId="25" xfId="1" applyNumberFormat="1" applyFont="1" applyFill="1" applyBorder="1"/>
    <xf numFmtId="168" fontId="9" fillId="17" borderId="26" xfId="1" applyNumberFormat="1" applyFont="1" applyFill="1" applyBorder="1"/>
    <xf numFmtId="170" fontId="5" fillId="15" borderId="23" xfId="2" applyNumberFormat="1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3" fontId="8" fillId="0" borderId="7" xfId="1" applyNumberFormat="1" applyFont="1" applyBorder="1"/>
    <xf numFmtId="168" fontId="9" fillId="0" borderId="29" xfId="1" applyNumberFormat="1" applyFont="1" applyBorder="1"/>
    <xf numFmtId="3" fontId="8" fillId="0" borderId="9" xfId="1" applyNumberFormat="1" applyFont="1" applyBorder="1"/>
    <xf numFmtId="168" fontId="9" fillId="0" borderId="30" xfId="1" applyNumberFormat="1" applyFont="1" applyFill="1" applyBorder="1"/>
    <xf numFmtId="167" fontId="9" fillId="17" borderId="31" xfId="1" applyNumberFormat="1" applyFont="1" applyFill="1" applyBorder="1"/>
    <xf numFmtId="168" fontId="0" fillId="0" borderId="0" xfId="1" applyNumberFormat="1" applyFont="1"/>
    <xf numFmtId="0" fontId="2" fillId="0" borderId="0" xfId="0" applyFont="1"/>
    <xf numFmtId="0" fontId="5" fillId="0" borderId="0" xfId="0" applyFont="1" applyFill="1" applyBorder="1"/>
    <xf numFmtId="0" fontId="2" fillId="0" borderId="0" xfId="0" applyFont="1" applyFill="1" applyBorder="1"/>
    <xf numFmtId="167" fontId="0" fillId="0" borderId="0" xfId="0" applyNumberFormat="1"/>
    <xf numFmtId="168" fontId="2" fillId="0" borderId="0" xfId="1" applyNumberFormat="1" applyFont="1" applyFill="1" applyBorder="1"/>
    <xf numFmtId="170" fontId="2" fillId="0" borderId="0" xfId="0" applyNumberFormat="1" applyFont="1" applyFill="1" applyBorder="1"/>
    <xf numFmtId="164" fontId="0" fillId="0" borderId="0" xfId="1" applyFont="1"/>
    <xf numFmtId="0" fontId="0" fillId="0" borderId="12" xfId="0" applyBorder="1"/>
    <xf numFmtId="0" fontId="0" fillId="0" borderId="6" xfId="0" applyFill="1" applyBorder="1"/>
    <xf numFmtId="0" fontId="0" fillId="0" borderId="6" xfId="0" applyBorder="1"/>
    <xf numFmtId="164" fontId="2" fillId="0" borderId="6" xfId="1" applyFont="1" applyBorder="1"/>
    <xf numFmtId="168" fontId="9" fillId="0" borderId="24" xfId="1" applyNumberFormat="1" applyFont="1" applyBorder="1"/>
    <xf numFmtId="168" fontId="0" fillId="0" borderId="0" xfId="0" applyNumberFormat="1"/>
    <xf numFmtId="0" fontId="2" fillId="0" borderId="6" xfId="0" applyFont="1" applyFill="1" applyBorder="1"/>
    <xf numFmtId="167" fontId="5" fillId="16" borderId="23" xfId="2" applyNumberFormat="1" applyFont="1" applyFill="1" applyBorder="1"/>
    <xf numFmtId="167" fontId="5" fillId="16" borderId="24" xfId="2" applyNumberFormat="1" applyFont="1" applyFill="1" applyBorder="1"/>
    <xf numFmtId="167" fontId="5" fillId="16" borderId="25" xfId="2" applyNumberFormat="1" applyFont="1" applyFill="1" applyBorder="1"/>
    <xf numFmtId="43" fontId="0" fillId="0" borderId="0" xfId="0" applyNumberFormat="1"/>
    <xf numFmtId="168" fontId="2" fillId="0" borderId="6" xfId="1" applyNumberFormat="1" applyFont="1" applyBorder="1"/>
    <xf numFmtId="168" fontId="8" fillId="0" borderId="0" xfId="1" applyNumberFormat="1" applyFont="1" applyBorder="1"/>
    <xf numFmtId="168" fontId="0" fillId="0" borderId="0" xfId="0" applyNumberFormat="1" applyBorder="1"/>
    <xf numFmtId="164" fontId="0" fillId="0" borderId="0" xfId="1" applyFont="1" applyBorder="1"/>
    <xf numFmtId="3" fontId="5" fillId="16" borderId="23" xfId="1" applyNumberFormat="1" applyFont="1" applyFill="1" applyBorder="1"/>
    <xf numFmtId="3" fontId="5" fillId="16" borderId="24" xfId="1" applyNumberFormat="1" applyFont="1" applyFill="1" applyBorder="1"/>
    <xf numFmtId="170" fontId="5" fillId="16" borderId="23" xfId="2" applyNumberFormat="1" applyFont="1" applyFill="1" applyBorder="1"/>
    <xf numFmtId="168" fontId="9" fillId="0" borderId="31" xfId="1" applyNumberFormat="1" applyFont="1" applyBorder="1"/>
    <xf numFmtId="0" fontId="5" fillId="0" borderId="0" xfId="0" applyFont="1"/>
    <xf numFmtId="168" fontId="2" fillId="0" borderId="32" xfId="1" applyNumberFormat="1" applyFont="1" applyBorder="1"/>
    <xf numFmtId="3" fontId="0" fillId="0" borderId="0" xfId="0" applyNumberFormat="1"/>
    <xf numFmtId="168" fontId="0" fillId="0" borderId="32" xfId="1" applyNumberFormat="1" applyFont="1" applyBorder="1"/>
    <xf numFmtId="168" fontId="2" fillId="20" borderId="0" xfId="1" applyNumberFormat="1" applyFont="1" applyFill="1" applyBorder="1"/>
    <xf numFmtId="168" fontId="2" fillId="0" borderId="0" xfId="1" applyNumberFormat="1" applyFont="1" applyBorder="1"/>
    <xf numFmtId="168" fontId="2" fillId="20" borderId="0" xfId="1" applyNumberFormat="1" applyFont="1" applyFill="1"/>
    <xf numFmtId="0" fontId="12" fillId="0" borderId="0" xfId="29"/>
    <xf numFmtId="0" fontId="2" fillId="0" borderId="7" xfId="29" applyFont="1" applyBorder="1"/>
    <xf numFmtId="0" fontId="2" fillId="0" borderId="8" xfId="29" applyFont="1" applyBorder="1"/>
    <xf numFmtId="0" fontId="2" fillId="0" borderId="9" xfId="29" applyFont="1" applyBorder="1"/>
    <xf numFmtId="0" fontId="12" fillId="15" borderId="12" xfId="29" applyFill="1" applyBorder="1"/>
    <xf numFmtId="0" fontId="5" fillId="0" borderId="5" xfId="29" applyFont="1" applyBorder="1"/>
    <xf numFmtId="0" fontId="5" fillId="0" borderId="0" xfId="29" applyFont="1" applyBorder="1"/>
    <xf numFmtId="0" fontId="5" fillId="0" borderId="6" xfId="29" applyFont="1" applyBorder="1"/>
    <xf numFmtId="0" fontId="12" fillId="0" borderId="6" xfId="29" applyFill="1" applyBorder="1"/>
    <xf numFmtId="3" fontId="6" fillId="0" borderId="33" xfId="1" applyNumberFormat="1" applyFont="1" applyFill="1" applyBorder="1" applyAlignment="1">
      <alignment horizontal="center"/>
    </xf>
    <xf numFmtId="0" fontId="7" fillId="0" borderId="5" xfId="29" applyFont="1" applyBorder="1" applyAlignment="1">
      <alignment horizontal="centerContinuous"/>
    </xf>
    <xf numFmtId="0" fontId="5" fillId="0" borderId="0" xfId="29" applyFont="1" applyBorder="1" applyAlignment="1">
      <alignment horizontal="centerContinuous"/>
    </xf>
    <xf numFmtId="0" fontId="5" fillId="0" borderId="6" xfId="29" applyFont="1" applyBorder="1" applyAlignment="1">
      <alignment horizontal="centerContinuous"/>
    </xf>
    <xf numFmtId="0" fontId="12" fillId="0" borderId="6" xfId="29" applyBorder="1"/>
    <xf numFmtId="0" fontId="2" fillId="0" borderId="5" xfId="29" applyFont="1" applyBorder="1"/>
    <xf numFmtId="0" fontId="2" fillId="0" borderId="0" xfId="29" applyFont="1" applyBorder="1"/>
    <xf numFmtId="0" fontId="2" fillId="0" borderId="6" xfId="29" applyFont="1" applyBorder="1"/>
    <xf numFmtId="167" fontId="8" fillId="0" borderId="6" xfId="2" applyNumberFormat="1" applyFont="1" applyFill="1" applyBorder="1"/>
    <xf numFmtId="168" fontId="12" fillId="0" borderId="0" xfId="29" applyNumberFormat="1"/>
    <xf numFmtId="0" fontId="2" fillId="0" borderId="6" xfId="29" applyFont="1" applyFill="1" applyBorder="1"/>
    <xf numFmtId="0" fontId="2" fillId="15" borderId="6" xfId="29" applyFont="1" applyFill="1" applyBorder="1"/>
    <xf numFmtId="167" fontId="12" fillId="0" borderId="0" xfId="29" applyNumberFormat="1"/>
    <xf numFmtId="0" fontId="10" fillId="0" borderId="5" xfId="29" applyFont="1" applyBorder="1"/>
    <xf numFmtId="43" fontId="12" fillId="0" borderId="0" xfId="29" applyNumberFormat="1"/>
    <xf numFmtId="0" fontId="2" fillId="0" borderId="0" xfId="29" applyFont="1" applyBorder="1" applyAlignment="1">
      <alignment horizontal="centerContinuous"/>
    </xf>
    <xf numFmtId="0" fontId="2" fillId="0" borderId="6" xfId="29" applyFont="1" applyBorder="1" applyAlignment="1">
      <alignment horizontal="centerContinuous"/>
    </xf>
    <xf numFmtId="171" fontId="8" fillId="0" borderId="5" xfId="1" applyNumberFormat="1" applyFont="1" applyBorder="1"/>
    <xf numFmtId="167" fontId="8" fillId="19" borderId="21" xfId="4" applyNumberFormat="1" applyFont="1" applyFill="1" applyBorder="1"/>
    <xf numFmtId="172" fontId="8" fillId="0" borderId="21" xfId="1" applyNumberFormat="1" applyFont="1" applyBorder="1"/>
    <xf numFmtId="172" fontId="8" fillId="0" borderId="21" xfId="1" applyNumberFormat="1" applyFont="1" applyFill="1" applyBorder="1"/>
    <xf numFmtId="167" fontId="5" fillId="15" borderId="27" xfId="2" applyNumberFormat="1" applyFont="1" applyFill="1" applyBorder="1"/>
    <xf numFmtId="3" fontId="8" fillId="0" borderId="6" xfId="1" applyNumberFormat="1" applyFont="1" applyFill="1" applyBorder="1"/>
    <xf numFmtId="168" fontId="9" fillId="0" borderId="27" xfId="1" applyNumberFormat="1" applyFont="1" applyFill="1" applyBorder="1"/>
    <xf numFmtId="166" fontId="8" fillId="0" borderId="6" xfId="1" applyNumberFormat="1" applyFont="1" applyFill="1" applyBorder="1"/>
    <xf numFmtId="168" fontId="9" fillId="19" borderId="27" xfId="1" applyNumberFormat="1" applyFont="1" applyFill="1" applyBorder="1"/>
    <xf numFmtId="170" fontId="5" fillId="15" borderId="24" xfId="2" applyNumberFormat="1" applyFont="1" applyFill="1" applyBorder="1"/>
    <xf numFmtId="0" fontId="9" fillId="0" borderId="7" xfId="29" applyFont="1" applyFill="1" applyBorder="1"/>
    <xf numFmtId="0" fontId="9" fillId="0" borderId="8" xfId="29" applyFont="1" applyFill="1" applyBorder="1"/>
    <xf numFmtId="0" fontId="9" fillId="0" borderId="9" xfId="29" applyFont="1" applyFill="1" applyBorder="1"/>
    <xf numFmtId="168" fontId="9" fillId="0" borderId="7" xfId="1" applyNumberFormat="1" applyFont="1" applyBorder="1"/>
    <xf numFmtId="3" fontId="8" fillId="0" borderId="34" xfId="1" applyNumberFormat="1" applyFont="1" applyBorder="1"/>
    <xf numFmtId="0" fontId="5" fillId="0" borderId="0" xfId="29" applyFont="1"/>
    <xf numFmtId="0" fontId="2" fillId="0" borderId="0" xfId="29" applyFont="1"/>
    <xf numFmtId="168" fontId="0" fillId="0" borderId="0" xfId="1" applyNumberFormat="1" applyFont="1" applyFill="1"/>
    <xf numFmtId="0" fontId="12" fillId="0" borderId="0" xfId="29" applyFill="1"/>
    <xf numFmtId="170" fontId="2" fillId="0" borderId="0" xfId="29" applyNumberFormat="1" applyFont="1" applyFill="1" applyBorder="1"/>
    <xf numFmtId="172" fontId="12" fillId="0" borderId="0" xfId="29" applyNumberFormat="1" applyFill="1"/>
    <xf numFmtId="168" fontId="12" fillId="0" borderId="0" xfId="29" applyNumberFormat="1" applyFill="1"/>
    <xf numFmtId="43" fontId="12" fillId="0" borderId="0" xfId="29" applyNumberFormat="1" applyFill="1"/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3" fontId="5" fillId="16" borderId="10" xfId="1" applyNumberFormat="1" applyFont="1" applyFill="1" applyBorder="1" applyAlignment="1">
      <alignment horizontal="center"/>
    </xf>
    <xf numFmtId="3" fontId="5" fillId="16" borderId="11" xfId="1" applyNumberFormat="1" applyFont="1" applyFill="1" applyBorder="1" applyAlignment="1">
      <alignment horizontal="center"/>
    </xf>
    <xf numFmtId="3" fontId="5" fillId="16" borderId="12" xfId="1" applyNumberFormat="1" applyFont="1" applyFill="1" applyBorder="1" applyAlignment="1">
      <alignment horizontal="center"/>
    </xf>
    <xf numFmtId="3" fontId="5" fillId="15" borderId="10" xfId="1" applyNumberFormat="1" applyFont="1" applyFill="1" applyBorder="1" applyAlignment="1">
      <alignment horizontal="center"/>
    </xf>
    <xf numFmtId="3" fontId="5" fillId="15" borderId="11" xfId="1" applyNumberFormat="1" applyFont="1" applyFill="1" applyBorder="1" applyAlignment="1">
      <alignment horizontal="center"/>
    </xf>
    <xf numFmtId="3" fontId="5" fillId="15" borderId="12" xfId="1" applyNumberFormat="1" applyFont="1" applyFill="1" applyBorder="1" applyAlignment="1">
      <alignment horizontal="center"/>
    </xf>
    <xf numFmtId="4" fontId="3" fillId="0" borderId="2" xfId="29" applyNumberFormat="1" applyFont="1" applyBorder="1" applyAlignment="1">
      <alignment horizontal="center"/>
    </xf>
    <xf numFmtId="4" fontId="3" fillId="0" borderId="3" xfId="29" applyNumberFormat="1" applyFont="1" applyBorder="1" applyAlignment="1">
      <alignment horizontal="center"/>
    </xf>
    <xf numFmtId="4" fontId="3" fillId="0" borderId="4" xfId="29" applyNumberFormat="1" applyFont="1" applyBorder="1" applyAlignment="1">
      <alignment horizontal="center"/>
    </xf>
    <xf numFmtId="4" fontId="4" fillId="0" borderId="5" xfId="29" applyNumberFormat="1" applyFont="1" applyBorder="1" applyAlignment="1">
      <alignment horizontal="center"/>
    </xf>
    <xf numFmtId="4" fontId="4" fillId="0" borderId="0" xfId="29" applyNumberFormat="1" applyFont="1" applyBorder="1" applyAlignment="1">
      <alignment horizontal="center"/>
    </xf>
    <xf numFmtId="4" fontId="4" fillId="0" borderId="6" xfId="29" applyNumberFormat="1" applyFont="1" applyBorder="1" applyAlignment="1">
      <alignment horizontal="center"/>
    </xf>
    <xf numFmtId="4" fontId="4" fillId="0" borderId="7" xfId="29" applyNumberFormat="1" applyFont="1" applyBorder="1" applyAlignment="1">
      <alignment horizontal="center"/>
    </xf>
    <xf numFmtId="4" fontId="4" fillId="0" borderId="8" xfId="29" applyNumberFormat="1" applyFont="1" applyBorder="1" applyAlignment="1">
      <alignment horizontal="center"/>
    </xf>
    <xf numFmtId="4" fontId="4" fillId="0" borderId="9" xfId="29" applyNumberFormat="1" applyFont="1" applyBorder="1" applyAlignment="1">
      <alignment horizontal="center"/>
    </xf>
  </cellXfs>
  <cellStyles count="43">
    <cellStyle name="20% - Énfasis1 2" xfId="30"/>
    <cellStyle name="20% - Énfasis2 2" xfId="31"/>
    <cellStyle name="20% - Énfasis3 2" xfId="32"/>
    <cellStyle name="20% - Énfasis4 2" xfId="33"/>
    <cellStyle name="20% - Énfasis5 2" xfId="34"/>
    <cellStyle name="20% - Énfasis6 2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4 2 2" xfId="13"/>
    <cellStyle name="Millares 5" xfId="14"/>
    <cellStyle name="Millares 6" xfId="15"/>
    <cellStyle name="Moneda 2" xfId="2"/>
    <cellStyle name="Moneda 3" xfId="16"/>
    <cellStyle name="Moneda 4" xfId="17"/>
    <cellStyle name="Moneda_Libro2" xfId="4"/>
    <cellStyle name="Normal" xfId="0" builtinId="0"/>
    <cellStyle name="Normal 2" xfId="18"/>
    <cellStyle name="Normal 2 2" xfId="19"/>
    <cellStyle name="Normal 3" xfId="20"/>
    <cellStyle name="Normal 4" xfId="21"/>
    <cellStyle name="Normal 5" xfId="3"/>
    <cellStyle name="Normal 6" xfId="22"/>
    <cellStyle name="Normal 6 2" xfId="23"/>
    <cellStyle name="Normal 6 2 2" xfId="24"/>
    <cellStyle name="Normal 7" xfId="25"/>
    <cellStyle name="Normal 7 2" xfId="26"/>
    <cellStyle name="Normal 8" xfId="27"/>
    <cellStyle name="Normal 9" xfId="29"/>
    <cellStyle name="Notas 2" xfId="42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%20Casillas\Documents\CUADROS\2014\DICIEMBRE\DICIEMBRE%20LG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NOVIEMBRE\NOVIEMBRE%20LC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014\NOVIEMBRE\NOVIEMBRE%20LC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SIT FINANCIERA "/>
      <sheetName val="EDO ACT"/>
      <sheetName val="EDO VARIAC PATRIM"/>
      <sheetName val="ANALIT ACT"/>
      <sheetName val="Estado de deuda publica"/>
      <sheetName val="Flujo de Efectivo"/>
      <sheetName val="Patronato final"/>
      <sheetName val="Conciliacion edo act y edo IYE"/>
      <sheetName val="rdo"/>
      <sheetName val="RDOACUM"/>
      <sheetName val="CUSTODIA"/>
      <sheetName val="CAJ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D7">
            <v>46147587</v>
          </cell>
          <cell r="J7">
            <v>695950787</v>
          </cell>
        </row>
        <row r="8">
          <cell r="D8">
            <v>31557561</v>
          </cell>
          <cell r="J8">
            <v>475918885</v>
          </cell>
        </row>
        <row r="9">
          <cell r="D9">
            <v>40078844</v>
          </cell>
          <cell r="J9">
            <v>140543209</v>
          </cell>
        </row>
        <row r="10">
          <cell r="D10">
            <v>117783992</v>
          </cell>
        </row>
        <row r="11">
          <cell r="D11">
            <v>7259415</v>
          </cell>
          <cell r="J11">
            <v>42504202</v>
          </cell>
        </row>
        <row r="12">
          <cell r="D12">
            <v>1039270.24</v>
          </cell>
          <cell r="J12">
            <v>13700413.02</v>
          </cell>
        </row>
        <row r="13">
          <cell r="D13">
            <v>13156724.84</v>
          </cell>
          <cell r="J13">
            <v>67910511.929999992</v>
          </cell>
        </row>
        <row r="14">
          <cell r="D14">
            <v>9164549.4800000004</v>
          </cell>
          <cell r="J14">
            <v>66218240.930000007</v>
          </cell>
        </row>
        <row r="15">
          <cell r="D15">
            <v>30619959.559999999</v>
          </cell>
          <cell r="J15">
            <v>190333367.88</v>
          </cell>
        </row>
        <row r="16">
          <cell r="D16">
            <v>4307139</v>
          </cell>
          <cell r="J16">
            <v>93546096.769999996</v>
          </cell>
        </row>
        <row r="17">
          <cell r="D17">
            <v>2875394.17</v>
          </cell>
          <cell r="J17">
            <v>262702952.20999998</v>
          </cell>
        </row>
        <row r="18">
          <cell r="D18">
            <v>3358326</v>
          </cell>
          <cell r="J18">
            <v>111146965.42999999</v>
          </cell>
        </row>
        <row r="19">
          <cell r="D19">
            <v>1861414</v>
          </cell>
          <cell r="J19">
            <v>6844833</v>
          </cell>
        </row>
        <row r="20">
          <cell r="D20">
            <v>461475</v>
          </cell>
          <cell r="J20">
            <v>6368235.1799999997</v>
          </cell>
        </row>
        <row r="21">
          <cell r="D21">
            <v>1221768.55</v>
          </cell>
          <cell r="J21">
            <v>39271484.359999999</v>
          </cell>
        </row>
        <row r="22">
          <cell r="D22">
            <v>516807.27</v>
          </cell>
          <cell r="J22">
            <v>7006011.8499999996</v>
          </cell>
        </row>
        <row r="23">
          <cell r="D23">
            <v>2564916.31</v>
          </cell>
          <cell r="J23">
            <v>10790806.16</v>
          </cell>
        </row>
        <row r="24">
          <cell r="D24">
            <v>57684916.409999996</v>
          </cell>
          <cell r="J24">
            <v>102491874.66</v>
          </cell>
        </row>
        <row r="25">
          <cell r="D25">
            <v>74852156.709999993</v>
          </cell>
          <cell r="J25">
            <v>640169260.62</v>
          </cell>
        </row>
        <row r="26">
          <cell r="D26">
            <v>223256108.26999998</v>
          </cell>
          <cell r="J26">
            <v>2142915509.5</v>
          </cell>
        </row>
        <row r="28">
          <cell r="D28">
            <v>2303312.15</v>
          </cell>
          <cell r="J28">
            <v>73441348.960000008</v>
          </cell>
        </row>
        <row r="29">
          <cell r="J29">
            <v>2069474160.54</v>
          </cell>
        </row>
        <row r="32">
          <cell r="D32">
            <v>156436859.25</v>
          </cell>
          <cell r="J32">
            <v>1345100404.6199999</v>
          </cell>
        </row>
        <row r="33">
          <cell r="D33">
            <v>36752407.799999997</v>
          </cell>
          <cell r="J33">
            <v>257896425.59999996</v>
          </cell>
        </row>
        <row r="34">
          <cell r="D34">
            <v>12667382.74</v>
          </cell>
          <cell r="J34">
            <v>94804507.819999993</v>
          </cell>
        </row>
        <row r="35">
          <cell r="D35">
            <v>3448618.13</v>
          </cell>
          <cell r="J35">
            <v>38166376.32</v>
          </cell>
        </row>
        <row r="36">
          <cell r="D36">
            <v>5487620.29</v>
          </cell>
          <cell r="J36">
            <v>44108545.310000002</v>
          </cell>
        </row>
        <row r="37">
          <cell r="D37">
            <v>214792887.21000001</v>
          </cell>
          <cell r="J37">
            <v>1780076259.6699996</v>
          </cell>
        </row>
        <row r="38">
          <cell r="D38">
            <v>219177.21</v>
          </cell>
          <cell r="J38">
            <v>1784762.6199999999</v>
          </cell>
        </row>
        <row r="39">
          <cell r="D39">
            <v>103468.93</v>
          </cell>
          <cell r="J39">
            <v>957954.88000000012</v>
          </cell>
        </row>
        <row r="40">
          <cell r="D40">
            <v>704270.33</v>
          </cell>
          <cell r="J40">
            <v>4814425.71</v>
          </cell>
        </row>
        <row r="41">
          <cell r="D41">
            <v>97114.43</v>
          </cell>
          <cell r="J41">
            <v>590757.79</v>
          </cell>
        </row>
        <row r="42">
          <cell r="D42">
            <v>604822.72</v>
          </cell>
          <cell r="J42">
            <v>941134.81</v>
          </cell>
        </row>
        <row r="43">
          <cell r="D43">
            <v>0</v>
          </cell>
          <cell r="J43">
            <v>0</v>
          </cell>
        </row>
        <row r="44">
          <cell r="J44">
            <v>186888.40999999997</v>
          </cell>
        </row>
        <row r="45">
          <cell r="D45">
            <v>85788.7</v>
          </cell>
          <cell r="J45">
            <v>249378.62</v>
          </cell>
        </row>
        <row r="46">
          <cell r="D46">
            <v>1848180.69</v>
          </cell>
          <cell r="J46">
            <v>9525303.8399999999</v>
          </cell>
        </row>
        <row r="47">
          <cell r="D47">
            <v>216641067.90000001</v>
          </cell>
          <cell r="J47">
            <v>1789601563.5099995</v>
          </cell>
        </row>
        <row r="48">
          <cell r="D48">
            <v>-16570.02</v>
          </cell>
          <cell r="J48">
            <v>846803.8</v>
          </cell>
        </row>
        <row r="49">
          <cell r="D49">
            <v>0</v>
          </cell>
          <cell r="J49">
            <v>179201.7</v>
          </cell>
        </row>
        <row r="50">
          <cell r="D50">
            <v>0</v>
          </cell>
          <cell r="J50">
            <v>3030139.5</v>
          </cell>
        </row>
        <row r="51">
          <cell r="D51">
            <v>72675401.260000005</v>
          </cell>
          <cell r="J51">
            <v>134216888.66000003</v>
          </cell>
        </row>
        <row r="52">
          <cell r="D52">
            <v>-5934.46</v>
          </cell>
          <cell r="J52">
            <v>264081.25</v>
          </cell>
        </row>
        <row r="53">
          <cell r="D53">
            <v>-280403.52</v>
          </cell>
          <cell r="J53">
            <v>7753947.3100000005</v>
          </cell>
        </row>
        <row r="54">
          <cell r="D54">
            <v>1212227.83</v>
          </cell>
          <cell r="J54">
            <v>6742868.209999999</v>
          </cell>
        </row>
        <row r="55">
          <cell r="D55">
            <v>1260937</v>
          </cell>
          <cell r="J55">
            <v>5267585.01</v>
          </cell>
        </row>
        <row r="56">
          <cell r="D56">
            <v>-145923.1</v>
          </cell>
          <cell r="J56">
            <v>2723970.7199999997</v>
          </cell>
        </row>
        <row r="57">
          <cell r="D57">
            <v>1023406</v>
          </cell>
          <cell r="J57">
            <v>670179</v>
          </cell>
        </row>
        <row r="58">
          <cell r="D58">
            <v>0</v>
          </cell>
          <cell r="J58">
            <v>0</v>
          </cell>
        </row>
        <row r="59">
          <cell r="D59">
            <v>75723141.990000024</v>
          </cell>
          <cell r="J59">
            <v>161695666.16000003</v>
          </cell>
        </row>
        <row r="60">
          <cell r="D60">
            <v>292364209.89000005</v>
          </cell>
          <cell r="J60">
            <v>1951297229.6699996</v>
          </cell>
        </row>
        <row r="62">
          <cell r="D62">
            <v>514153.17</v>
          </cell>
          <cell r="J62">
            <v>82093788.689999998</v>
          </cell>
        </row>
        <row r="63">
          <cell r="D63">
            <v>9700226.5899999999</v>
          </cell>
          <cell r="J63">
            <v>33963411.519999996</v>
          </cell>
        </row>
        <row r="64">
          <cell r="D64">
            <v>2482199.06</v>
          </cell>
          <cell r="J64">
            <v>15922272.200000001</v>
          </cell>
        </row>
        <row r="65">
          <cell r="D65">
            <v>2905102.94</v>
          </cell>
          <cell r="J65">
            <v>9901656.7899999991</v>
          </cell>
        </row>
        <row r="66">
          <cell r="D66">
            <v>0</v>
          </cell>
          <cell r="J66">
            <v>0</v>
          </cell>
        </row>
        <row r="67">
          <cell r="D67">
            <v>10275858.68</v>
          </cell>
          <cell r="J67">
            <v>21416069.949999999</v>
          </cell>
        </row>
        <row r="68">
          <cell r="D68">
            <v>25877540.439999998</v>
          </cell>
          <cell r="J68">
            <v>163297199.14999998</v>
          </cell>
        </row>
        <row r="69">
          <cell r="D69">
            <v>13409141.1</v>
          </cell>
          <cell r="J69">
            <v>73474826.439999998</v>
          </cell>
        </row>
        <row r="70">
          <cell r="D70">
            <v>18171397.869999997</v>
          </cell>
          <cell r="J70">
            <v>61615483.049999997</v>
          </cell>
        </row>
        <row r="71">
          <cell r="D71">
            <v>0</v>
          </cell>
          <cell r="J71">
            <v>385911</v>
          </cell>
        </row>
        <row r="72">
          <cell r="D72">
            <v>31580539.969999999</v>
          </cell>
        </row>
        <row r="73">
          <cell r="D73">
            <v>57458079.409999996</v>
          </cell>
          <cell r="J73">
            <v>298773418.63999999</v>
          </cell>
        </row>
        <row r="75">
          <cell r="D75">
            <v>349822289.30000007</v>
          </cell>
          <cell r="J75">
            <v>2250070648.3099995</v>
          </cell>
        </row>
        <row r="76">
          <cell r="D76">
            <v>-128869493.1800001</v>
          </cell>
          <cell r="J76">
            <v>-180596487.7699995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SIT FINANCIERA "/>
      <sheetName val="EDO ACT"/>
      <sheetName val="EDO VARIAC PATRIM"/>
      <sheetName val="ANALIT ACT"/>
      <sheetName val="Estado de deuda publica"/>
      <sheetName val="Flujo de Efectivo"/>
      <sheetName val="Patronato final"/>
      <sheetName val="Conciliacion edo act y edo IYE"/>
      <sheetName val="rdo"/>
      <sheetName val="RDOACUM"/>
      <sheetName val="CUSTODIA"/>
      <sheetName val="CAJA"/>
      <sheetName val="IYE"/>
      <sheetName val="mesvsmes"/>
      <sheetName val="COMPRES"/>
      <sheetName val="b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H7">
            <v>628955234.63999999</v>
          </cell>
        </row>
        <row r="8">
          <cell r="H8">
            <v>431375282.0800001</v>
          </cell>
        </row>
        <row r="9">
          <cell r="H9">
            <v>136038405</v>
          </cell>
        </row>
        <row r="16">
          <cell r="H16">
            <v>101804968.40195426</v>
          </cell>
        </row>
        <row r="17">
          <cell r="H17">
            <v>255374219.85886979</v>
          </cell>
        </row>
        <row r="18">
          <cell r="H18">
            <v>106199146.60414943</v>
          </cell>
        </row>
        <row r="19">
          <cell r="H19">
            <v>9161582.1370796245</v>
          </cell>
        </row>
        <row r="20">
          <cell r="H20">
            <v>6167942.2491723616</v>
          </cell>
        </row>
        <row r="21">
          <cell r="H21">
            <v>44011373.688260734</v>
          </cell>
        </row>
        <row r="22">
          <cell r="H22">
            <v>9702539.5087989159</v>
          </cell>
        </row>
        <row r="23">
          <cell r="H23">
            <v>7327413.9397838218</v>
          </cell>
        </row>
        <row r="24">
          <cell r="H24">
            <v>37118386.303157657</v>
          </cell>
        </row>
        <row r="28">
          <cell r="H28">
            <v>72852138.614754826</v>
          </cell>
        </row>
        <row r="32">
          <cell r="H32">
            <v>1147560398.4740396</v>
          </cell>
        </row>
        <row r="33">
          <cell r="H33">
            <v>200247091.39197195</v>
          </cell>
        </row>
        <row r="34">
          <cell r="H34">
            <v>78189968.06852816</v>
          </cell>
        </row>
        <row r="35">
          <cell r="H35">
            <v>40299946.07193543</v>
          </cell>
        </row>
        <row r="36">
          <cell r="H36">
            <v>50962094.539779514</v>
          </cell>
        </row>
        <row r="38">
          <cell r="H38">
            <v>854464.51589190052</v>
          </cell>
        </row>
        <row r="39">
          <cell r="H39">
            <v>1429882.0902456637</v>
          </cell>
        </row>
        <row r="40">
          <cell r="H40">
            <v>3331912.2290453035</v>
          </cell>
        </row>
        <row r="41">
          <cell r="H41">
            <v>475241.56944273558</v>
          </cell>
        </row>
        <row r="42">
          <cell r="H42">
            <v>587369.36816366087</v>
          </cell>
        </row>
        <row r="43">
          <cell r="H43">
            <v>0</v>
          </cell>
        </row>
        <row r="44">
          <cell r="H44">
            <v>250739.74263287365</v>
          </cell>
        </row>
        <row r="45">
          <cell r="H45">
            <v>17026.879658492726</v>
          </cell>
        </row>
        <row r="48">
          <cell r="H48">
            <v>29914.448434774</v>
          </cell>
        </row>
        <row r="49">
          <cell r="H49">
            <v>144018.20761748048</v>
          </cell>
        </row>
        <row r="50">
          <cell r="H50">
            <v>0</v>
          </cell>
        </row>
        <row r="51">
          <cell r="H51">
            <v>44382720.002459481</v>
          </cell>
        </row>
        <row r="52">
          <cell r="H52">
            <v>96642.62884834595</v>
          </cell>
        </row>
        <row r="53">
          <cell r="H53">
            <v>4343121.0574751589</v>
          </cell>
        </row>
        <row r="54">
          <cell r="H54">
            <v>6965240.4441255787</v>
          </cell>
        </row>
        <row r="55">
          <cell r="H55">
            <v>1407595.5529149435</v>
          </cell>
        </row>
        <row r="56">
          <cell r="H56">
            <v>3163008.0197538198</v>
          </cell>
        </row>
        <row r="57">
          <cell r="H57">
            <v>675210.56963807589</v>
          </cell>
        </row>
        <row r="58">
          <cell r="H58">
            <v>0</v>
          </cell>
        </row>
      </sheetData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SIT FINANCIERA "/>
      <sheetName val="EDO ACT"/>
      <sheetName val="EDO VARIAC PATRIM"/>
      <sheetName val="ANALIT ACT"/>
      <sheetName val="Estado de deuda publica"/>
      <sheetName val="Flujo de Efectivo"/>
      <sheetName val="Patronato final"/>
      <sheetName val="Conciliacion edo act y edo IYE"/>
      <sheetName val="rdo"/>
      <sheetName val="RDOACUM"/>
      <sheetName val="CUSTODIA"/>
      <sheetName val="CAJA"/>
      <sheetName val="IYE"/>
      <sheetName val="mesvsmes"/>
      <sheetName val="COMPRES"/>
      <sheetName val="balan"/>
    </sheetNames>
    <sheetDataSet>
      <sheetData sheetId="0"/>
      <sheetData sheetId="1">
        <row r="37">
          <cell r="F37">
            <v>627980132.65999997</v>
          </cell>
        </row>
      </sheetData>
      <sheetData sheetId="2">
        <row r="47">
          <cell r="E47">
            <v>-21116447.409999967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6">
          <cell r="E6">
            <v>92829600</v>
          </cell>
        </row>
      </sheetData>
      <sheetData sheetId="10"/>
      <sheetData sheetId="11">
        <row r="36">
          <cell r="K36">
            <v>210684</v>
          </cell>
        </row>
      </sheetData>
      <sheetData sheetId="12">
        <row r="31">
          <cell r="G31" t="e">
            <v>#REF!</v>
          </cell>
        </row>
      </sheetData>
      <sheetData sheetId="13"/>
      <sheetData sheetId="14">
        <row r="7">
          <cell r="D7">
            <v>92829600</v>
          </cell>
        </row>
        <row r="44">
          <cell r="D44">
            <v>69.3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showGridLines="0" tabSelected="1" zoomScale="110" zoomScaleNormal="110" workbookViewId="0">
      <pane ySplit="5" topLeftCell="A6" activePane="bottomLeft" state="frozen"/>
      <selection pane="bottomLeft" activeCell="C24" sqref="C24"/>
    </sheetView>
  </sheetViews>
  <sheetFormatPr baseColWidth="10" defaultColWidth="11.42578125" defaultRowHeight="12.75" x14ac:dyDescent="0.2"/>
  <cols>
    <col min="1" max="1" width="3.140625" style="24" customWidth="1"/>
    <col min="2" max="2" width="3.140625" style="25" customWidth="1"/>
    <col min="3" max="3" width="33.28515625" style="25" customWidth="1"/>
    <col min="4" max="4" width="15.42578125" style="25" hidden="1" customWidth="1"/>
    <col min="5" max="5" width="14.85546875" style="25" hidden="1" customWidth="1"/>
    <col min="6" max="6" width="14.28515625" style="25" hidden="1" customWidth="1"/>
    <col min="7" max="7" width="0.28515625" hidden="1" customWidth="1"/>
    <col min="8" max="8" width="4.140625" hidden="1" customWidth="1"/>
    <col min="9" max="10" width="15.28515625" bestFit="1" customWidth="1"/>
    <col min="11" max="11" width="13.28515625" style="112" bestFit="1" customWidth="1"/>
    <col min="12" max="12" width="3.140625" hidden="1" customWidth="1"/>
    <col min="13" max="13" width="19.42578125" style="118" hidden="1" customWidth="1"/>
    <col min="14" max="14" width="4.5703125" hidden="1" customWidth="1"/>
    <col min="15" max="15" width="10.5703125" hidden="1" customWidth="1"/>
    <col min="16" max="19" width="4.5703125" hidden="1" customWidth="1"/>
    <col min="20" max="21" width="0" hidden="1" customWidth="1"/>
    <col min="251" max="251" width="1.7109375" customWidth="1"/>
    <col min="252" max="252" width="2" customWidth="1"/>
    <col min="253" max="253" width="32.140625" customWidth="1"/>
    <col min="254" max="254" width="15.42578125" customWidth="1"/>
    <col min="255" max="255" width="14.85546875" customWidth="1"/>
    <col min="256" max="256" width="14.28515625" bestFit="1" customWidth="1"/>
    <col min="257" max="257" width="0" hidden="1" customWidth="1"/>
    <col min="258" max="258" width="16.28515625" customWidth="1"/>
    <col min="259" max="259" width="16" customWidth="1"/>
    <col min="260" max="260" width="13.85546875" bestFit="1" customWidth="1"/>
    <col min="261" max="261" width="2.42578125" customWidth="1"/>
    <col min="262" max="262" width="19.42578125" customWidth="1"/>
    <col min="263" max="263" width="4.5703125" customWidth="1"/>
    <col min="264" max="264" width="13.7109375" customWidth="1"/>
    <col min="265" max="265" width="3.42578125" customWidth="1"/>
    <col min="266" max="266" width="15.85546875" bestFit="1" customWidth="1"/>
    <col min="267" max="267" width="13.5703125" customWidth="1"/>
    <col min="507" max="507" width="1.7109375" customWidth="1"/>
    <col min="508" max="508" width="2" customWidth="1"/>
    <col min="509" max="509" width="32.140625" customWidth="1"/>
    <col min="510" max="510" width="15.42578125" customWidth="1"/>
    <col min="511" max="511" width="14.85546875" customWidth="1"/>
    <col min="512" max="512" width="14.28515625" bestFit="1" customWidth="1"/>
    <col min="513" max="513" width="0" hidden="1" customWidth="1"/>
    <col min="514" max="514" width="16.28515625" customWidth="1"/>
    <col min="515" max="515" width="16" customWidth="1"/>
    <col min="516" max="516" width="13.85546875" bestFit="1" customWidth="1"/>
    <col min="517" max="517" width="2.42578125" customWidth="1"/>
    <col min="518" max="518" width="19.42578125" customWidth="1"/>
    <col min="519" max="519" width="4.5703125" customWidth="1"/>
    <col min="520" max="520" width="13.7109375" customWidth="1"/>
    <col min="521" max="521" width="3.42578125" customWidth="1"/>
    <col min="522" max="522" width="15.85546875" bestFit="1" customWidth="1"/>
    <col min="523" max="523" width="13.5703125" customWidth="1"/>
    <col min="763" max="763" width="1.7109375" customWidth="1"/>
    <col min="764" max="764" width="2" customWidth="1"/>
    <col min="765" max="765" width="32.140625" customWidth="1"/>
    <col min="766" max="766" width="15.42578125" customWidth="1"/>
    <col min="767" max="767" width="14.85546875" customWidth="1"/>
    <col min="768" max="768" width="14.28515625" bestFit="1" customWidth="1"/>
    <col min="769" max="769" width="0" hidden="1" customWidth="1"/>
    <col min="770" max="770" width="16.28515625" customWidth="1"/>
    <col min="771" max="771" width="16" customWidth="1"/>
    <col min="772" max="772" width="13.85546875" bestFit="1" customWidth="1"/>
    <col min="773" max="773" width="2.42578125" customWidth="1"/>
    <col min="774" max="774" width="19.42578125" customWidth="1"/>
    <col min="775" max="775" width="4.5703125" customWidth="1"/>
    <col min="776" max="776" width="13.7109375" customWidth="1"/>
    <col min="777" max="777" width="3.42578125" customWidth="1"/>
    <col min="778" max="778" width="15.85546875" bestFit="1" customWidth="1"/>
    <col min="779" max="779" width="13.5703125" customWidth="1"/>
    <col min="1019" max="1019" width="1.7109375" customWidth="1"/>
    <col min="1020" max="1020" width="2" customWidth="1"/>
    <col min="1021" max="1021" width="32.140625" customWidth="1"/>
    <col min="1022" max="1022" width="15.42578125" customWidth="1"/>
    <col min="1023" max="1023" width="14.85546875" customWidth="1"/>
    <col min="1024" max="1024" width="14.28515625" bestFit="1" customWidth="1"/>
    <col min="1025" max="1025" width="0" hidden="1" customWidth="1"/>
    <col min="1026" max="1026" width="16.28515625" customWidth="1"/>
    <col min="1027" max="1027" width="16" customWidth="1"/>
    <col min="1028" max="1028" width="13.85546875" bestFit="1" customWidth="1"/>
    <col min="1029" max="1029" width="2.42578125" customWidth="1"/>
    <col min="1030" max="1030" width="19.42578125" customWidth="1"/>
    <col min="1031" max="1031" width="4.5703125" customWidth="1"/>
    <col min="1032" max="1032" width="13.7109375" customWidth="1"/>
    <col min="1033" max="1033" width="3.42578125" customWidth="1"/>
    <col min="1034" max="1034" width="15.85546875" bestFit="1" customWidth="1"/>
    <col min="1035" max="1035" width="13.5703125" customWidth="1"/>
    <col min="1275" max="1275" width="1.7109375" customWidth="1"/>
    <col min="1276" max="1276" width="2" customWidth="1"/>
    <col min="1277" max="1277" width="32.140625" customWidth="1"/>
    <col min="1278" max="1278" width="15.42578125" customWidth="1"/>
    <col min="1279" max="1279" width="14.85546875" customWidth="1"/>
    <col min="1280" max="1280" width="14.28515625" bestFit="1" customWidth="1"/>
    <col min="1281" max="1281" width="0" hidden="1" customWidth="1"/>
    <col min="1282" max="1282" width="16.28515625" customWidth="1"/>
    <col min="1283" max="1283" width="16" customWidth="1"/>
    <col min="1284" max="1284" width="13.85546875" bestFit="1" customWidth="1"/>
    <col min="1285" max="1285" width="2.42578125" customWidth="1"/>
    <col min="1286" max="1286" width="19.42578125" customWidth="1"/>
    <col min="1287" max="1287" width="4.5703125" customWidth="1"/>
    <col min="1288" max="1288" width="13.7109375" customWidth="1"/>
    <col min="1289" max="1289" width="3.42578125" customWidth="1"/>
    <col min="1290" max="1290" width="15.85546875" bestFit="1" customWidth="1"/>
    <col min="1291" max="1291" width="13.5703125" customWidth="1"/>
    <col min="1531" max="1531" width="1.7109375" customWidth="1"/>
    <col min="1532" max="1532" width="2" customWidth="1"/>
    <col min="1533" max="1533" width="32.140625" customWidth="1"/>
    <col min="1534" max="1534" width="15.42578125" customWidth="1"/>
    <col min="1535" max="1535" width="14.85546875" customWidth="1"/>
    <col min="1536" max="1536" width="14.28515625" bestFit="1" customWidth="1"/>
    <col min="1537" max="1537" width="0" hidden="1" customWidth="1"/>
    <col min="1538" max="1538" width="16.28515625" customWidth="1"/>
    <col min="1539" max="1539" width="16" customWidth="1"/>
    <col min="1540" max="1540" width="13.85546875" bestFit="1" customWidth="1"/>
    <col min="1541" max="1541" width="2.42578125" customWidth="1"/>
    <col min="1542" max="1542" width="19.42578125" customWidth="1"/>
    <col min="1543" max="1543" width="4.5703125" customWidth="1"/>
    <col min="1544" max="1544" width="13.7109375" customWidth="1"/>
    <col min="1545" max="1545" width="3.42578125" customWidth="1"/>
    <col min="1546" max="1546" width="15.85546875" bestFit="1" customWidth="1"/>
    <col min="1547" max="1547" width="13.5703125" customWidth="1"/>
    <col min="1787" max="1787" width="1.7109375" customWidth="1"/>
    <col min="1788" max="1788" width="2" customWidth="1"/>
    <col min="1789" max="1789" width="32.140625" customWidth="1"/>
    <col min="1790" max="1790" width="15.42578125" customWidth="1"/>
    <col min="1791" max="1791" width="14.85546875" customWidth="1"/>
    <col min="1792" max="1792" width="14.28515625" bestFit="1" customWidth="1"/>
    <col min="1793" max="1793" width="0" hidden="1" customWidth="1"/>
    <col min="1794" max="1794" width="16.28515625" customWidth="1"/>
    <col min="1795" max="1795" width="16" customWidth="1"/>
    <col min="1796" max="1796" width="13.85546875" bestFit="1" customWidth="1"/>
    <col min="1797" max="1797" width="2.42578125" customWidth="1"/>
    <col min="1798" max="1798" width="19.42578125" customWidth="1"/>
    <col min="1799" max="1799" width="4.5703125" customWidth="1"/>
    <col min="1800" max="1800" width="13.7109375" customWidth="1"/>
    <col min="1801" max="1801" width="3.42578125" customWidth="1"/>
    <col min="1802" max="1802" width="15.85546875" bestFit="1" customWidth="1"/>
    <col min="1803" max="1803" width="13.5703125" customWidth="1"/>
    <col min="2043" max="2043" width="1.7109375" customWidth="1"/>
    <col min="2044" max="2044" width="2" customWidth="1"/>
    <col min="2045" max="2045" width="32.140625" customWidth="1"/>
    <col min="2046" max="2046" width="15.42578125" customWidth="1"/>
    <col min="2047" max="2047" width="14.85546875" customWidth="1"/>
    <col min="2048" max="2048" width="14.28515625" bestFit="1" customWidth="1"/>
    <col min="2049" max="2049" width="0" hidden="1" customWidth="1"/>
    <col min="2050" max="2050" width="16.28515625" customWidth="1"/>
    <col min="2051" max="2051" width="16" customWidth="1"/>
    <col min="2052" max="2052" width="13.85546875" bestFit="1" customWidth="1"/>
    <col min="2053" max="2053" width="2.42578125" customWidth="1"/>
    <col min="2054" max="2054" width="19.42578125" customWidth="1"/>
    <col min="2055" max="2055" width="4.5703125" customWidth="1"/>
    <col min="2056" max="2056" width="13.7109375" customWidth="1"/>
    <col min="2057" max="2057" width="3.42578125" customWidth="1"/>
    <col min="2058" max="2058" width="15.85546875" bestFit="1" customWidth="1"/>
    <col min="2059" max="2059" width="13.5703125" customWidth="1"/>
    <col min="2299" max="2299" width="1.7109375" customWidth="1"/>
    <col min="2300" max="2300" width="2" customWidth="1"/>
    <col min="2301" max="2301" width="32.140625" customWidth="1"/>
    <col min="2302" max="2302" width="15.42578125" customWidth="1"/>
    <col min="2303" max="2303" width="14.85546875" customWidth="1"/>
    <col min="2304" max="2304" width="14.28515625" bestFit="1" customWidth="1"/>
    <col min="2305" max="2305" width="0" hidden="1" customWidth="1"/>
    <col min="2306" max="2306" width="16.28515625" customWidth="1"/>
    <col min="2307" max="2307" width="16" customWidth="1"/>
    <col min="2308" max="2308" width="13.85546875" bestFit="1" customWidth="1"/>
    <col min="2309" max="2309" width="2.42578125" customWidth="1"/>
    <col min="2310" max="2310" width="19.42578125" customWidth="1"/>
    <col min="2311" max="2311" width="4.5703125" customWidth="1"/>
    <col min="2312" max="2312" width="13.7109375" customWidth="1"/>
    <col min="2313" max="2313" width="3.42578125" customWidth="1"/>
    <col min="2314" max="2314" width="15.85546875" bestFit="1" customWidth="1"/>
    <col min="2315" max="2315" width="13.5703125" customWidth="1"/>
    <col min="2555" max="2555" width="1.7109375" customWidth="1"/>
    <col min="2556" max="2556" width="2" customWidth="1"/>
    <col min="2557" max="2557" width="32.140625" customWidth="1"/>
    <col min="2558" max="2558" width="15.42578125" customWidth="1"/>
    <col min="2559" max="2559" width="14.85546875" customWidth="1"/>
    <col min="2560" max="2560" width="14.28515625" bestFit="1" customWidth="1"/>
    <col min="2561" max="2561" width="0" hidden="1" customWidth="1"/>
    <col min="2562" max="2562" width="16.28515625" customWidth="1"/>
    <col min="2563" max="2563" width="16" customWidth="1"/>
    <col min="2564" max="2564" width="13.85546875" bestFit="1" customWidth="1"/>
    <col min="2565" max="2565" width="2.42578125" customWidth="1"/>
    <col min="2566" max="2566" width="19.42578125" customWidth="1"/>
    <col min="2567" max="2567" width="4.5703125" customWidth="1"/>
    <col min="2568" max="2568" width="13.7109375" customWidth="1"/>
    <col min="2569" max="2569" width="3.42578125" customWidth="1"/>
    <col min="2570" max="2570" width="15.85546875" bestFit="1" customWidth="1"/>
    <col min="2571" max="2571" width="13.5703125" customWidth="1"/>
    <col min="2811" max="2811" width="1.7109375" customWidth="1"/>
    <col min="2812" max="2812" width="2" customWidth="1"/>
    <col min="2813" max="2813" width="32.140625" customWidth="1"/>
    <col min="2814" max="2814" width="15.42578125" customWidth="1"/>
    <col min="2815" max="2815" width="14.85546875" customWidth="1"/>
    <col min="2816" max="2816" width="14.28515625" bestFit="1" customWidth="1"/>
    <col min="2817" max="2817" width="0" hidden="1" customWidth="1"/>
    <col min="2818" max="2818" width="16.28515625" customWidth="1"/>
    <col min="2819" max="2819" width="16" customWidth="1"/>
    <col min="2820" max="2820" width="13.85546875" bestFit="1" customWidth="1"/>
    <col min="2821" max="2821" width="2.42578125" customWidth="1"/>
    <col min="2822" max="2822" width="19.42578125" customWidth="1"/>
    <col min="2823" max="2823" width="4.5703125" customWidth="1"/>
    <col min="2824" max="2824" width="13.7109375" customWidth="1"/>
    <col min="2825" max="2825" width="3.42578125" customWidth="1"/>
    <col min="2826" max="2826" width="15.85546875" bestFit="1" customWidth="1"/>
    <col min="2827" max="2827" width="13.5703125" customWidth="1"/>
    <col min="3067" max="3067" width="1.7109375" customWidth="1"/>
    <col min="3068" max="3068" width="2" customWidth="1"/>
    <col min="3069" max="3069" width="32.140625" customWidth="1"/>
    <col min="3070" max="3070" width="15.42578125" customWidth="1"/>
    <col min="3071" max="3071" width="14.85546875" customWidth="1"/>
    <col min="3072" max="3072" width="14.28515625" bestFit="1" customWidth="1"/>
    <col min="3073" max="3073" width="0" hidden="1" customWidth="1"/>
    <col min="3074" max="3074" width="16.28515625" customWidth="1"/>
    <col min="3075" max="3075" width="16" customWidth="1"/>
    <col min="3076" max="3076" width="13.85546875" bestFit="1" customWidth="1"/>
    <col min="3077" max="3077" width="2.42578125" customWidth="1"/>
    <col min="3078" max="3078" width="19.42578125" customWidth="1"/>
    <col min="3079" max="3079" width="4.5703125" customWidth="1"/>
    <col min="3080" max="3080" width="13.7109375" customWidth="1"/>
    <col min="3081" max="3081" width="3.42578125" customWidth="1"/>
    <col min="3082" max="3082" width="15.85546875" bestFit="1" customWidth="1"/>
    <col min="3083" max="3083" width="13.5703125" customWidth="1"/>
    <col min="3323" max="3323" width="1.7109375" customWidth="1"/>
    <col min="3324" max="3324" width="2" customWidth="1"/>
    <col min="3325" max="3325" width="32.140625" customWidth="1"/>
    <col min="3326" max="3326" width="15.42578125" customWidth="1"/>
    <col min="3327" max="3327" width="14.85546875" customWidth="1"/>
    <col min="3328" max="3328" width="14.28515625" bestFit="1" customWidth="1"/>
    <col min="3329" max="3329" width="0" hidden="1" customWidth="1"/>
    <col min="3330" max="3330" width="16.28515625" customWidth="1"/>
    <col min="3331" max="3331" width="16" customWidth="1"/>
    <col min="3332" max="3332" width="13.85546875" bestFit="1" customWidth="1"/>
    <col min="3333" max="3333" width="2.42578125" customWidth="1"/>
    <col min="3334" max="3334" width="19.42578125" customWidth="1"/>
    <col min="3335" max="3335" width="4.5703125" customWidth="1"/>
    <col min="3336" max="3336" width="13.7109375" customWidth="1"/>
    <col min="3337" max="3337" width="3.42578125" customWidth="1"/>
    <col min="3338" max="3338" width="15.85546875" bestFit="1" customWidth="1"/>
    <col min="3339" max="3339" width="13.5703125" customWidth="1"/>
    <col min="3579" max="3579" width="1.7109375" customWidth="1"/>
    <col min="3580" max="3580" width="2" customWidth="1"/>
    <col min="3581" max="3581" width="32.140625" customWidth="1"/>
    <col min="3582" max="3582" width="15.42578125" customWidth="1"/>
    <col min="3583" max="3583" width="14.85546875" customWidth="1"/>
    <col min="3584" max="3584" width="14.28515625" bestFit="1" customWidth="1"/>
    <col min="3585" max="3585" width="0" hidden="1" customWidth="1"/>
    <col min="3586" max="3586" width="16.28515625" customWidth="1"/>
    <col min="3587" max="3587" width="16" customWidth="1"/>
    <col min="3588" max="3588" width="13.85546875" bestFit="1" customWidth="1"/>
    <col min="3589" max="3589" width="2.42578125" customWidth="1"/>
    <col min="3590" max="3590" width="19.42578125" customWidth="1"/>
    <col min="3591" max="3591" width="4.5703125" customWidth="1"/>
    <col min="3592" max="3592" width="13.7109375" customWidth="1"/>
    <col min="3593" max="3593" width="3.42578125" customWidth="1"/>
    <col min="3594" max="3594" width="15.85546875" bestFit="1" customWidth="1"/>
    <col min="3595" max="3595" width="13.5703125" customWidth="1"/>
    <col min="3835" max="3835" width="1.7109375" customWidth="1"/>
    <col min="3836" max="3836" width="2" customWidth="1"/>
    <col min="3837" max="3837" width="32.140625" customWidth="1"/>
    <col min="3838" max="3838" width="15.42578125" customWidth="1"/>
    <col min="3839" max="3839" width="14.85546875" customWidth="1"/>
    <col min="3840" max="3840" width="14.28515625" bestFit="1" customWidth="1"/>
    <col min="3841" max="3841" width="0" hidden="1" customWidth="1"/>
    <col min="3842" max="3842" width="16.28515625" customWidth="1"/>
    <col min="3843" max="3843" width="16" customWidth="1"/>
    <col min="3844" max="3844" width="13.85546875" bestFit="1" customWidth="1"/>
    <col min="3845" max="3845" width="2.42578125" customWidth="1"/>
    <col min="3846" max="3846" width="19.42578125" customWidth="1"/>
    <col min="3847" max="3847" width="4.5703125" customWidth="1"/>
    <col min="3848" max="3848" width="13.7109375" customWidth="1"/>
    <col min="3849" max="3849" width="3.42578125" customWidth="1"/>
    <col min="3850" max="3850" width="15.85546875" bestFit="1" customWidth="1"/>
    <col min="3851" max="3851" width="13.5703125" customWidth="1"/>
    <col min="4091" max="4091" width="1.7109375" customWidth="1"/>
    <col min="4092" max="4092" width="2" customWidth="1"/>
    <col min="4093" max="4093" width="32.140625" customWidth="1"/>
    <col min="4094" max="4094" width="15.42578125" customWidth="1"/>
    <col min="4095" max="4095" width="14.85546875" customWidth="1"/>
    <col min="4096" max="4096" width="14.28515625" bestFit="1" customWidth="1"/>
    <col min="4097" max="4097" width="0" hidden="1" customWidth="1"/>
    <col min="4098" max="4098" width="16.28515625" customWidth="1"/>
    <col min="4099" max="4099" width="16" customWidth="1"/>
    <col min="4100" max="4100" width="13.85546875" bestFit="1" customWidth="1"/>
    <col min="4101" max="4101" width="2.42578125" customWidth="1"/>
    <col min="4102" max="4102" width="19.42578125" customWidth="1"/>
    <col min="4103" max="4103" width="4.5703125" customWidth="1"/>
    <col min="4104" max="4104" width="13.7109375" customWidth="1"/>
    <col min="4105" max="4105" width="3.42578125" customWidth="1"/>
    <col min="4106" max="4106" width="15.85546875" bestFit="1" customWidth="1"/>
    <col min="4107" max="4107" width="13.5703125" customWidth="1"/>
    <col min="4347" max="4347" width="1.7109375" customWidth="1"/>
    <col min="4348" max="4348" width="2" customWidth="1"/>
    <col min="4349" max="4349" width="32.140625" customWidth="1"/>
    <col min="4350" max="4350" width="15.42578125" customWidth="1"/>
    <col min="4351" max="4351" width="14.85546875" customWidth="1"/>
    <col min="4352" max="4352" width="14.28515625" bestFit="1" customWidth="1"/>
    <col min="4353" max="4353" width="0" hidden="1" customWidth="1"/>
    <col min="4354" max="4354" width="16.28515625" customWidth="1"/>
    <col min="4355" max="4355" width="16" customWidth="1"/>
    <col min="4356" max="4356" width="13.85546875" bestFit="1" customWidth="1"/>
    <col min="4357" max="4357" width="2.42578125" customWidth="1"/>
    <col min="4358" max="4358" width="19.42578125" customWidth="1"/>
    <col min="4359" max="4359" width="4.5703125" customWidth="1"/>
    <col min="4360" max="4360" width="13.7109375" customWidth="1"/>
    <col min="4361" max="4361" width="3.42578125" customWidth="1"/>
    <col min="4362" max="4362" width="15.85546875" bestFit="1" customWidth="1"/>
    <col min="4363" max="4363" width="13.5703125" customWidth="1"/>
    <col min="4603" max="4603" width="1.7109375" customWidth="1"/>
    <col min="4604" max="4604" width="2" customWidth="1"/>
    <col min="4605" max="4605" width="32.140625" customWidth="1"/>
    <col min="4606" max="4606" width="15.42578125" customWidth="1"/>
    <col min="4607" max="4607" width="14.85546875" customWidth="1"/>
    <col min="4608" max="4608" width="14.28515625" bestFit="1" customWidth="1"/>
    <col min="4609" max="4609" width="0" hidden="1" customWidth="1"/>
    <col min="4610" max="4610" width="16.28515625" customWidth="1"/>
    <col min="4611" max="4611" width="16" customWidth="1"/>
    <col min="4612" max="4612" width="13.85546875" bestFit="1" customWidth="1"/>
    <col min="4613" max="4613" width="2.42578125" customWidth="1"/>
    <col min="4614" max="4614" width="19.42578125" customWidth="1"/>
    <col min="4615" max="4615" width="4.5703125" customWidth="1"/>
    <col min="4616" max="4616" width="13.7109375" customWidth="1"/>
    <col min="4617" max="4617" width="3.42578125" customWidth="1"/>
    <col min="4618" max="4618" width="15.85546875" bestFit="1" customWidth="1"/>
    <col min="4619" max="4619" width="13.5703125" customWidth="1"/>
    <col min="4859" max="4859" width="1.7109375" customWidth="1"/>
    <col min="4860" max="4860" width="2" customWidth="1"/>
    <col min="4861" max="4861" width="32.140625" customWidth="1"/>
    <col min="4862" max="4862" width="15.42578125" customWidth="1"/>
    <col min="4863" max="4863" width="14.85546875" customWidth="1"/>
    <col min="4864" max="4864" width="14.28515625" bestFit="1" customWidth="1"/>
    <col min="4865" max="4865" width="0" hidden="1" customWidth="1"/>
    <col min="4866" max="4866" width="16.28515625" customWidth="1"/>
    <col min="4867" max="4867" width="16" customWidth="1"/>
    <col min="4868" max="4868" width="13.85546875" bestFit="1" customWidth="1"/>
    <col min="4869" max="4869" width="2.42578125" customWidth="1"/>
    <col min="4870" max="4870" width="19.42578125" customWidth="1"/>
    <col min="4871" max="4871" width="4.5703125" customWidth="1"/>
    <col min="4872" max="4872" width="13.7109375" customWidth="1"/>
    <col min="4873" max="4873" width="3.42578125" customWidth="1"/>
    <col min="4874" max="4874" width="15.85546875" bestFit="1" customWidth="1"/>
    <col min="4875" max="4875" width="13.5703125" customWidth="1"/>
    <col min="5115" max="5115" width="1.7109375" customWidth="1"/>
    <col min="5116" max="5116" width="2" customWidth="1"/>
    <col min="5117" max="5117" width="32.140625" customWidth="1"/>
    <col min="5118" max="5118" width="15.42578125" customWidth="1"/>
    <col min="5119" max="5119" width="14.85546875" customWidth="1"/>
    <col min="5120" max="5120" width="14.28515625" bestFit="1" customWidth="1"/>
    <col min="5121" max="5121" width="0" hidden="1" customWidth="1"/>
    <col min="5122" max="5122" width="16.28515625" customWidth="1"/>
    <col min="5123" max="5123" width="16" customWidth="1"/>
    <col min="5124" max="5124" width="13.85546875" bestFit="1" customWidth="1"/>
    <col min="5125" max="5125" width="2.42578125" customWidth="1"/>
    <col min="5126" max="5126" width="19.42578125" customWidth="1"/>
    <col min="5127" max="5127" width="4.5703125" customWidth="1"/>
    <col min="5128" max="5128" width="13.7109375" customWidth="1"/>
    <col min="5129" max="5129" width="3.42578125" customWidth="1"/>
    <col min="5130" max="5130" width="15.85546875" bestFit="1" customWidth="1"/>
    <col min="5131" max="5131" width="13.5703125" customWidth="1"/>
    <col min="5371" max="5371" width="1.7109375" customWidth="1"/>
    <col min="5372" max="5372" width="2" customWidth="1"/>
    <col min="5373" max="5373" width="32.140625" customWidth="1"/>
    <col min="5374" max="5374" width="15.42578125" customWidth="1"/>
    <col min="5375" max="5375" width="14.85546875" customWidth="1"/>
    <col min="5376" max="5376" width="14.28515625" bestFit="1" customWidth="1"/>
    <col min="5377" max="5377" width="0" hidden="1" customWidth="1"/>
    <col min="5378" max="5378" width="16.28515625" customWidth="1"/>
    <col min="5379" max="5379" width="16" customWidth="1"/>
    <col min="5380" max="5380" width="13.85546875" bestFit="1" customWidth="1"/>
    <col min="5381" max="5381" width="2.42578125" customWidth="1"/>
    <col min="5382" max="5382" width="19.42578125" customWidth="1"/>
    <col min="5383" max="5383" width="4.5703125" customWidth="1"/>
    <col min="5384" max="5384" width="13.7109375" customWidth="1"/>
    <col min="5385" max="5385" width="3.42578125" customWidth="1"/>
    <col min="5386" max="5386" width="15.85546875" bestFit="1" customWidth="1"/>
    <col min="5387" max="5387" width="13.5703125" customWidth="1"/>
    <col min="5627" max="5627" width="1.7109375" customWidth="1"/>
    <col min="5628" max="5628" width="2" customWidth="1"/>
    <col min="5629" max="5629" width="32.140625" customWidth="1"/>
    <col min="5630" max="5630" width="15.42578125" customWidth="1"/>
    <col min="5631" max="5631" width="14.85546875" customWidth="1"/>
    <col min="5632" max="5632" width="14.28515625" bestFit="1" customWidth="1"/>
    <col min="5633" max="5633" width="0" hidden="1" customWidth="1"/>
    <col min="5634" max="5634" width="16.28515625" customWidth="1"/>
    <col min="5635" max="5635" width="16" customWidth="1"/>
    <col min="5636" max="5636" width="13.85546875" bestFit="1" customWidth="1"/>
    <col min="5637" max="5637" width="2.42578125" customWidth="1"/>
    <col min="5638" max="5638" width="19.42578125" customWidth="1"/>
    <col min="5639" max="5639" width="4.5703125" customWidth="1"/>
    <col min="5640" max="5640" width="13.7109375" customWidth="1"/>
    <col min="5641" max="5641" width="3.42578125" customWidth="1"/>
    <col min="5642" max="5642" width="15.85546875" bestFit="1" customWidth="1"/>
    <col min="5643" max="5643" width="13.5703125" customWidth="1"/>
    <col min="5883" max="5883" width="1.7109375" customWidth="1"/>
    <col min="5884" max="5884" width="2" customWidth="1"/>
    <col min="5885" max="5885" width="32.140625" customWidth="1"/>
    <col min="5886" max="5886" width="15.42578125" customWidth="1"/>
    <col min="5887" max="5887" width="14.85546875" customWidth="1"/>
    <col min="5888" max="5888" width="14.28515625" bestFit="1" customWidth="1"/>
    <col min="5889" max="5889" width="0" hidden="1" customWidth="1"/>
    <col min="5890" max="5890" width="16.28515625" customWidth="1"/>
    <col min="5891" max="5891" width="16" customWidth="1"/>
    <col min="5892" max="5892" width="13.85546875" bestFit="1" customWidth="1"/>
    <col min="5893" max="5893" width="2.42578125" customWidth="1"/>
    <col min="5894" max="5894" width="19.42578125" customWidth="1"/>
    <col min="5895" max="5895" width="4.5703125" customWidth="1"/>
    <col min="5896" max="5896" width="13.7109375" customWidth="1"/>
    <col min="5897" max="5897" width="3.42578125" customWidth="1"/>
    <col min="5898" max="5898" width="15.85546875" bestFit="1" customWidth="1"/>
    <col min="5899" max="5899" width="13.5703125" customWidth="1"/>
    <col min="6139" max="6139" width="1.7109375" customWidth="1"/>
    <col min="6140" max="6140" width="2" customWidth="1"/>
    <col min="6141" max="6141" width="32.140625" customWidth="1"/>
    <col min="6142" max="6142" width="15.42578125" customWidth="1"/>
    <col min="6143" max="6143" width="14.85546875" customWidth="1"/>
    <col min="6144" max="6144" width="14.28515625" bestFit="1" customWidth="1"/>
    <col min="6145" max="6145" width="0" hidden="1" customWidth="1"/>
    <col min="6146" max="6146" width="16.28515625" customWidth="1"/>
    <col min="6147" max="6147" width="16" customWidth="1"/>
    <col min="6148" max="6148" width="13.85546875" bestFit="1" customWidth="1"/>
    <col min="6149" max="6149" width="2.42578125" customWidth="1"/>
    <col min="6150" max="6150" width="19.42578125" customWidth="1"/>
    <col min="6151" max="6151" width="4.5703125" customWidth="1"/>
    <col min="6152" max="6152" width="13.7109375" customWidth="1"/>
    <col min="6153" max="6153" width="3.42578125" customWidth="1"/>
    <col min="6154" max="6154" width="15.85546875" bestFit="1" customWidth="1"/>
    <col min="6155" max="6155" width="13.5703125" customWidth="1"/>
    <col min="6395" max="6395" width="1.7109375" customWidth="1"/>
    <col min="6396" max="6396" width="2" customWidth="1"/>
    <col min="6397" max="6397" width="32.140625" customWidth="1"/>
    <col min="6398" max="6398" width="15.42578125" customWidth="1"/>
    <col min="6399" max="6399" width="14.85546875" customWidth="1"/>
    <col min="6400" max="6400" width="14.28515625" bestFit="1" customWidth="1"/>
    <col min="6401" max="6401" width="0" hidden="1" customWidth="1"/>
    <col min="6402" max="6402" width="16.28515625" customWidth="1"/>
    <col min="6403" max="6403" width="16" customWidth="1"/>
    <col min="6404" max="6404" width="13.85546875" bestFit="1" customWidth="1"/>
    <col min="6405" max="6405" width="2.42578125" customWidth="1"/>
    <col min="6406" max="6406" width="19.42578125" customWidth="1"/>
    <col min="6407" max="6407" width="4.5703125" customWidth="1"/>
    <col min="6408" max="6408" width="13.7109375" customWidth="1"/>
    <col min="6409" max="6409" width="3.42578125" customWidth="1"/>
    <col min="6410" max="6410" width="15.85546875" bestFit="1" customWidth="1"/>
    <col min="6411" max="6411" width="13.5703125" customWidth="1"/>
    <col min="6651" max="6651" width="1.7109375" customWidth="1"/>
    <col min="6652" max="6652" width="2" customWidth="1"/>
    <col min="6653" max="6653" width="32.140625" customWidth="1"/>
    <col min="6654" max="6654" width="15.42578125" customWidth="1"/>
    <col min="6655" max="6655" width="14.85546875" customWidth="1"/>
    <col min="6656" max="6656" width="14.28515625" bestFit="1" customWidth="1"/>
    <col min="6657" max="6657" width="0" hidden="1" customWidth="1"/>
    <col min="6658" max="6658" width="16.28515625" customWidth="1"/>
    <col min="6659" max="6659" width="16" customWidth="1"/>
    <col min="6660" max="6660" width="13.85546875" bestFit="1" customWidth="1"/>
    <col min="6661" max="6661" width="2.42578125" customWidth="1"/>
    <col min="6662" max="6662" width="19.42578125" customWidth="1"/>
    <col min="6663" max="6663" width="4.5703125" customWidth="1"/>
    <col min="6664" max="6664" width="13.7109375" customWidth="1"/>
    <col min="6665" max="6665" width="3.42578125" customWidth="1"/>
    <col min="6666" max="6666" width="15.85546875" bestFit="1" customWidth="1"/>
    <col min="6667" max="6667" width="13.5703125" customWidth="1"/>
    <col min="6907" max="6907" width="1.7109375" customWidth="1"/>
    <col min="6908" max="6908" width="2" customWidth="1"/>
    <col min="6909" max="6909" width="32.140625" customWidth="1"/>
    <col min="6910" max="6910" width="15.42578125" customWidth="1"/>
    <col min="6911" max="6911" width="14.85546875" customWidth="1"/>
    <col min="6912" max="6912" width="14.28515625" bestFit="1" customWidth="1"/>
    <col min="6913" max="6913" width="0" hidden="1" customWidth="1"/>
    <col min="6914" max="6914" width="16.28515625" customWidth="1"/>
    <col min="6915" max="6915" width="16" customWidth="1"/>
    <col min="6916" max="6916" width="13.85546875" bestFit="1" customWidth="1"/>
    <col min="6917" max="6917" width="2.42578125" customWidth="1"/>
    <col min="6918" max="6918" width="19.42578125" customWidth="1"/>
    <col min="6919" max="6919" width="4.5703125" customWidth="1"/>
    <col min="6920" max="6920" width="13.7109375" customWidth="1"/>
    <col min="6921" max="6921" width="3.42578125" customWidth="1"/>
    <col min="6922" max="6922" width="15.85546875" bestFit="1" customWidth="1"/>
    <col min="6923" max="6923" width="13.5703125" customWidth="1"/>
    <col min="7163" max="7163" width="1.7109375" customWidth="1"/>
    <col min="7164" max="7164" width="2" customWidth="1"/>
    <col min="7165" max="7165" width="32.140625" customWidth="1"/>
    <col min="7166" max="7166" width="15.42578125" customWidth="1"/>
    <col min="7167" max="7167" width="14.85546875" customWidth="1"/>
    <col min="7168" max="7168" width="14.28515625" bestFit="1" customWidth="1"/>
    <col min="7169" max="7169" width="0" hidden="1" customWidth="1"/>
    <col min="7170" max="7170" width="16.28515625" customWidth="1"/>
    <col min="7171" max="7171" width="16" customWidth="1"/>
    <col min="7172" max="7172" width="13.85546875" bestFit="1" customWidth="1"/>
    <col min="7173" max="7173" width="2.42578125" customWidth="1"/>
    <col min="7174" max="7174" width="19.42578125" customWidth="1"/>
    <col min="7175" max="7175" width="4.5703125" customWidth="1"/>
    <col min="7176" max="7176" width="13.7109375" customWidth="1"/>
    <col min="7177" max="7177" width="3.42578125" customWidth="1"/>
    <col min="7178" max="7178" width="15.85546875" bestFit="1" customWidth="1"/>
    <col min="7179" max="7179" width="13.5703125" customWidth="1"/>
    <col min="7419" max="7419" width="1.7109375" customWidth="1"/>
    <col min="7420" max="7420" width="2" customWidth="1"/>
    <col min="7421" max="7421" width="32.140625" customWidth="1"/>
    <col min="7422" max="7422" width="15.42578125" customWidth="1"/>
    <col min="7423" max="7423" width="14.85546875" customWidth="1"/>
    <col min="7424" max="7424" width="14.28515625" bestFit="1" customWidth="1"/>
    <col min="7425" max="7425" width="0" hidden="1" customWidth="1"/>
    <col min="7426" max="7426" width="16.28515625" customWidth="1"/>
    <col min="7427" max="7427" width="16" customWidth="1"/>
    <col min="7428" max="7428" width="13.85546875" bestFit="1" customWidth="1"/>
    <col min="7429" max="7429" width="2.42578125" customWidth="1"/>
    <col min="7430" max="7430" width="19.42578125" customWidth="1"/>
    <col min="7431" max="7431" width="4.5703125" customWidth="1"/>
    <col min="7432" max="7432" width="13.7109375" customWidth="1"/>
    <col min="7433" max="7433" width="3.42578125" customWidth="1"/>
    <col min="7434" max="7434" width="15.85546875" bestFit="1" customWidth="1"/>
    <col min="7435" max="7435" width="13.5703125" customWidth="1"/>
    <col min="7675" max="7675" width="1.7109375" customWidth="1"/>
    <col min="7676" max="7676" width="2" customWidth="1"/>
    <col min="7677" max="7677" width="32.140625" customWidth="1"/>
    <col min="7678" max="7678" width="15.42578125" customWidth="1"/>
    <col min="7679" max="7679" width="14.85546875" customWidth="1"/>
    <col min="7680" max="7680" width="14.28515625" bestFit="1" customWidth="1"/>
    <col min="7681" max="7681" width="0" hidden="1" customWidth="1"/>
    <col min="7682" max="7682" width="16.28515625" customWidth="1"/>
    <col min="7683" max="7683" width="16" customWidth="1"/>
    <col min="7684" max="7684" width="13.85546875" bestFit="1" customWidth="1"/>
    <col min="7685" max="7685" width="2.42578125" customWidth="1"/>
    <col min="7686" max="7686" width="19.42578125" customWidth="1"/>
    <col min="7687" max="7687" width="4.5703125" customWidth="1"/>
    <col min="7688" max="7688" width="13.7109375" customWidth="1"/>
    <col min="7689" max="7689" width="3.42578125" customWidth="1"/>
    <col min="7690" max="7690" width="15.85546875" bestFit="1" customWidth="1"/>
    <col min="7691" max="7691" width="13.5703125" customWidth="1"/>
    <col min="7931" max="7931" width="1.7109375" customWidth="1"/>
    <col min="7932" max="7932" width="2" customWidth="1"/>
    <col min="7933" max="7933" width="32.140625" customWidth="1"/>
    <col min="7934" max="7934" width="15.42578125" customWidth="1"/>
    <col min="7935" max="7935" width="14.85546875" customWidth="1"/>
    <col min="7936" max="7936" width="14.28515625" bestFit="1" customWidth="1"/>
    <col min="7937" max="7937" width="0" hidden="1" customWidth="1"/>
    <col min="7938" max="7938" width="16.28515625" customWidth="1"/>
    <col min="7939" max="7939" width="16" customWidth="1"/>
    <col min="7940" max="7940" width="13.85546875" bestFit="1" customWidth="1"/>
    <col min="7941" max="7941" width="2.42578125" customWidth="1"/>
    <col min="7942" max="7942" width="19.42578125" customWidth="1"/>
    <col min="7943" max="7943" width="4.5703125" customWidth="1"/>
    <col min="7944" max="7944" width="13.7109375" customWidth="1"/>
    <col min="7945" max="7945" width="3.42578125" customWidth="1"/>
    <col min="7946" max="7946" width="15.85546875" bestFit="1" customWidth="1"/>
    <col min="7947" max="7947" width="13.5703125" customWidth="1"/>
    <col min="8187" max="8187" width="1.7109375" customWidth="1"/>
    <col min="8188" max="8188" width="2" customWidth="1"/>
    <col min="8189" max="8189" width="32.140625" customWidth="1"/>
    <col min="8190" max="8190" width="15.42578125" customWidth="1"/>
    <col min="8191" max="8191" width="14.85546875" customWidth="1"/>
    <col min="8192" max="8192" width="14.28515625" bestFit="1" customWidth="1"/>
    <col min="8193" max="8193" width="0" hidden="1" customWidth="1"/>
    <col min="8194" max="8194" width="16.28515625" customWidth="1"/>
    <col min="8195" max="8195" width="16" customWidth="1"/>
    <col min="8196" max="8196" width="13.85546875" bestFit="1" customWidth="1"/>
    <col min="8197" max="8197" width="2.42578125" customWidth="1"/>
    <col min="8198" max="8198" width="19.42578125" customWidth="1"/>
    <col min="8199" max="8199" width="4.5703125" customWidth="1"/>
    <col min="8200" max="8200" width="13.7109375" customWidth="1"/>
    <col min="8201" max="8201" width="3.42578125" customWidth="1"/>
    <col min="8202" max="8202" width="15.85546875" bestFit="1" customWidth="1"/>
    <col min="8203" max="8203" width="13.5703125" customWidth="1"/>
    <col min="8443" max="8443" width="1.7109375" customWidth="1"/>
    <col min="8444" max="8444" width="2" customWidth="1"/>
    <col min="8445" max="8445" width="32.140625" customWidth="1"/>
    <col min="8446" max="8446" width="15.42578125" customWidth="1"/>
    <col min="8447" max="8447" width="14.85546875" customWidth="1"/>
    <col min="8448" max="8448" width="14.28515625" bestFit="1" customWidth="1"/>
    <col min="8449" max="8449" width="0" hidden="1" customWidth="1"/>
    <col min="8450" max="8450" width="16.28515625" customWidth="1"/>
    <col min="8451" max="8451" width="16" customWidth="1"/>
    <col min="8452" max="8452" width="13.85546875" bestFit="1" customWidth="1"/>
    <col min="8453" max="8453" width="2.42578125" customWidth="1"/>
    <col min="8454" max="8454" width="19.42578125" customWidth="1"/>
    <col min="8455" max="8455" width="4.5703125" customWidth="1"/>
    <col min="8456" max="8456" width="13.7109375" customWidth="1"/>
    <col min="8457" max="8457" width="3.42578125" customWidth="1"/>
    <col min="8458" max="8458" width="15.85546875" bestFit="1" customWidth="1"/>
    <col min="8459" max="8459" width="13.5703125" customWidth="1"/>
    <col min="8699" max="8699" width="1.7109375" customWidth="1"/>
    <col min="8700" max="8700" width="2" customWidth="1"/>
    <col min="8701" max="8701" width="32.140625" customWidth="1"/>
    <col min="8702" max="8702" width="15.42578125" customWidth="1"/>
    <col min="8703" max="8703" width="14.85546875" customWidth="1"/>
    <col min="8704" max="8704" width="14.28515625" bestFit="1" customWidth="1"/>
    <col min="8705" max="8705" width="0" hidden="1" customWidth="1"/>
    <col min="8706" max="8706" width="16.28515625" customWidth="1"/>
    <col min="8707" max="8707" width="16" customWidth="1"/>
    <col min="8708" max="8708" width="13.85546875" bestFit="1" customWidth="1"/>
    <col min="8709" max="8709" width="2.42578125" customWidth="1"/>
    <col min="8710" max="8710" width="19.42578125" customWidth="1"/>
    <col min="8711" max="8711" width="4.5703125" customWidth="1"/>
    <col min="8712" max="8712" width="13.7109375" customWidth="1"/>
    <col min="8713" max="8713" width="3.42578125" customWidth="1"/>
    <col min="8714" max="8714" width="15.85546875" bestFit="1" customWidth="1"/>
    <col min="8715" max="8715" width="13.5703125" customWidth="1"/>
    <col min="8955" max="8955" width="1.7109375" customWidth="1"/>
    <col min="8956" max="8956" width="2" customWidth="1"/>
    <col min="8957" max="8957" width="32.140625" customWidth="1"/>
    <col min="8958" max="8958" width="15.42578125" customWidth="1"/>
    <col min="8959" max="8959" width="14.85546875" customWidth="1"/>
    <col min="8960" max="8960" width="14.28515625" bestFit="1" customWidth="1"/>
    <col min="8961" max="8961" width="0" hidden="1" customWidth="1"/>
    <col min="8962" max="8962" width="16.28515625" customWidth="1"/>
    <col min="8963" max="8963" width="16" customWidth="1"/>
    <col min="8964" max="8964" width="13.85546875" bestFit="1" customWidth="1"/>
    <col min="8965" max="8965" width="2.42578125" customWidth="1"/>
    <col min="8966" max="8966" width="19.42578125" customWidth="1"/>
    <col min="8967" max="8967" width="4.5703125" customWidth="1"/>
    <col min="8968" max="8968" width="13.7109375" customWidth="1"/>
    <col min="8969" max="8969" width="3.42578125" customWidth="1"/>
    <col min="8970" max="8970" width="15.85546875" bestFit="1" customWidth="1"/>
    <col min="8971" max="8971" width="13.5703125" customWidth="1"/>
    <col min="9211" max="9211" width="1.7109375" customWidth="1"/>
    <col min="9212" max="9212" width="2" customWidth="1"/>
    <col min="9213" max="9213" width="32.140625" customWidth="1"/>
    <col min="9214" max="9214" width="15.42578125" customWidth="1"/>
    <col min="9215" max="9215" width="14.85546875" customWidth="1"/>
    <col min="9216" max="9216" width="14.28515625" bestFit="1" customWidth="1"/>
    <col min="9217" max="9217" width="0" hidden="1" customWidth="1"/>
    <col min="9218" max="9218" width="16.28515625" customWidth="1"/>
    <col min="9219" max="9219" width="16" customWidth="1"/>
    <col min="9220" max="9220" width="13.85546875" bestFit="1" customWidth="1"/>
    <col min="9221" max="9221" width="2.42578125" customWidth="1"/>
    <col min="9222" max="9222" width="19.42578125" customWidth="1"/>
    <col min="9223" max="9223" width="4.5703125" customWidth="1"/>
    <col min="9224" max="9224" width="13.7109375" customWidth="1"/>
    <col min="9225" max="9225" width="3.42578125" customWidth="1"/>
    <col min="9226" max="9226" width="15.85546875" bestFit="1" customWidth="1"/>
    <col min="9227" max="9227" width="13.5703125" customWidth="1"/>
    <col min="9467" max="9467" width="1.7109375" customWidth="1"/>
    <col min="9468" max="9468" width="2" customWidth="1"/>
    <col min="9469" max="9469" width="32.140625" customWidth="1"/>
    <col min="9470" max="9470" width="15.42578125" customWidth="1"/>
    <col min="9471" max="9471" width="14.85546875" customWidth="1"/>
    <col min="9472" max="9472" width="14.28515625" bestFit="1" customWidth="1"/>
    <col min="9473" max="9473" width="0" hidden="1" customWidth="1"/>
    <col min="9474" max="9474" width="16.28515625" customWidth="1"/>
    <col min="9475" max="9475" width="16" customWidth="1"/>
    <col min="9476" max="9476" width="13.85546875" bestFit="1" customWidth="1"/>
    <col min="9477" max="9477" width="2.42578125" customWidth="1"/>
    <col min="9478" max="9478" width="19.42578125" customWidth="1"/>
    <col min="9479" max="9479" width="4.5703125" customWidth="1"/>
    <col min="9480" max="9480" width="13.7109375" customWidth="1"/>
    <col min="9481" max="9481" width="3.42578125" customWidth="1"/>
    <col min="9482" max="9482" width="15.85546875" bestFit="1" customWidth="1"/>
    <col min="9483" max="9483" width="13.5703125" customWidth="1"/>
    <col min="9723" max="9723" width="1.7109375" customWidth="1"/>
    <col min="9724" max="9724" width="2" customWidth="1"/>
    <col min="9725" max="9725" width="32.140625" customWidth="1"/>
    <col min="9726" max="9726" width="15.42578125" customWidth="1"/>
    <col min="9727" max="9727" width="14.85546875" customWidth="1"/>
    <col min="9728" max="9728" width="14.28515625" bestFit="1" customWidth="1"/>
    <col min="9729" max="9729" width="0" hidden="1" customWidth="1"/>
    <col min="9730" max="9730" width="16.28515625" customWidth="1"/>
    <col min="9731" max="9731" width="16" customWidth="1"/>
    <col min="9732" max="9732" width="13.85546875" bestFit="1" customWidth="1"/>
    <col min="9733" max="9733" width="2.42578125" customWidth="1"/>
    <col min="9734" max="9734" width="19.42578125" customWidth="1"/>
    <col min="9735" max="9735" width="4.5703125" customWidth="1"/>
    <col min="9736" max="9736" width="13.7109375" customWidth="1"/>
    <col min="9737" max="9737" width="3.42578125" customWidth="1"/>
    <col min="9738" max="9738" width="15.85546875" bestFit="1" customWidth="1"/>
    <col min="9739" max="9739" width="13.5703125" customWidth="1"/>
    <col min="9979" max="9979" width="1.7109375" customWidth="1"/>
    <col min="9980" max="9980" width="2" customWidth="1"/>
    <col min="9981" max="9981" width="32.140625" customWidth="1"/>
    <col min="9982" max="9982" width="15.42578125" customWidth="1"/>
    <col min="9983" max="9983" width="14.85546875" customWidth="1"/>
    <col min="9984" max="9984" width="14.28515625" bestFit="1" customWidth="1"/>
    <col min="9985" max="9985" width="0" hidden="1" customWidth="1"/>
    <col min="9986" max="9986" width="16.28515625" customWidth="1"/>
    <col min="9987" max="9987" width="16" customWidth="1"/>
    <col min="9988" max="9988" width="13.85546875" bestFit="1" customWidth="1"/>
    <col min="9989" max="9989" width="2.42578125" customWidth="1"/>
    <col min="9990" max="9990" width="19.42578125" customWidth="1"/>
    <col min="9991" max="9991" width="4.5703125" customWidth="1"/>
    <col min="9992" max="9992" width="13.7109375" customWidth="1"/>
    <col min="9993" max="9993" width="3.42578125" customWidth="1"/>
    <col min="9994" max="9994" width="15.85546875" bestFit="1" customWidth="1"/>
    <col min="9995" max="9995" width="13.5703125" customWidth="1"/>
    <col min="10235" max="10235" width="1.7109375" customWidth="1"/>
    <col min="10236" max="10236" width="2" customWidth="1"/>
    <col min="10237" max="10237" width="32.140625" customWidth="1"/>
    <col min="10238" max="10238" width="15.42578125" customWidth="1"/>
    <col min="10239" max="10239" width="14.85546875" customWidth="1"/>
    <col min="10240" max="10240" width="14.28515625" bestFit="1" customWidth="1"/>
    <col min="10241" max="10241" width="0" hidden="1" customWidth="1"/>
    <col min="10242" max="10242" width="16.28515625" customWidth="1"/>
    <col min="10243" max="10243" width="16" customWidth="1"/>
    <col min="10244" max="10244" width="13.85546875" bestFit="1" customWidth="1"/>
    <col min="10245" max="10245" width="2.42578125" customWidth="1"/>
    <col min="10246" max="10246" width="19.42578125" customWidth="1"/>
    <col min="10247" max="10247" width="4.5703125" customWidth="1"/>
    <col min="10248" max="10248" width="13.7109375" customWidth="1"/>
    <col min="10249" max="10249" width="3.42578125" customWidth="1"/>
    <col min="10250" max="10250" width="15.85546875" bestFit="1" customWidth="1"/>
    <col min="10251" max="10251" width="13.5703125" customWidth="1"/>
    <col min="10491" max="10491" width="1.7109375" customWidth="1"/>
    <col min="10492" max="10492" width="2" customWidth="1"/>
    <col min="10493" max="10493" width="32.140625" customWidth="1"/>
    <col min="10494" max="10494" width="15.42578125" customWidth="1"/>
    <col min="10495" max="10495" width="14.85546875" customWidth="1"/>
    <col min="10496" max="10496" width="14.28515625" bestFit="1" customWidth="1"/>
    <col min="10497" max="10497" width="0" hidden="1" customWidth="1"/>
    <col min="10498" max="10498" width="16.28515625" customWidth="1"/>
    <col min="10499" max="10499" width="16" customWidth="1"/>
    <col min="10500" max="10500" width="13.85546875" bestFit="1" customWidth="1"/>
    <col min="10501" max="10501" width="2.42578125" customWidth="1"/>
    <col min="10502" max="10502" width="19.42578125" customWidth="1"/>
    <col min="10503" max="10503" width="4.5703125" customWidth="1"/>
    <col min="10504" max="10504" width="13.7109375" customWidth="1"/>
    <col min="10505" max="10505" width="3.42578125" customWidth="1"/>
    <col min="10506" max="10506" width="15.85546875" bestFit="1" customWidth="1"/>
    <col min="10507" max="10507" width="13.5703125" customWidth="1"/>
    <col min="10747" max="10747" width="1.7109375" customWidth="1"/>
    <col min="10748" max="10748" width="2" customWidth="1"/>
    <col min="10749" max="10749" width="32.140625" customWidth="1"/>
    <col min="10750" max="10750" width="15.42578125" customWidth="1"/>
    <col min="10751" max="10751" width="14.85546875" customWidth="1"/>
    <col min="10752" max="10752" width="14.28515625" bestFit="1" customWidth="1"/>
    <col min="10753" max="10753" width="0" hidden="1" customWidth="1"/>
    <col min="10754" max="10754" width="16.28515625" customWidth="1"/>
    <col min="10755" max="10755" width="16" customWidth="1"/>
    <col min="10756" max="10756" width="13.85546875" bestFit="1" customWidth="1"/>
    <col min="10757" max="10757" width="2.42578125" customWidth="1"/>
    <col min="10758" max="10758" width="19.42578125" customWidth="1"/>
    <col min="10759" max="10759" width="4.5703125" customWidth="1"/>
    <col min="10760" max="10760" width="13.7109375" customWidth="1"/>
    <col min="10761" max="10761" width="3.42578125" customWidth="1"/>
    <col min="10762" max="10762" width="15.85546875" bestFit="1" customWidth="1"/>
    <col min="10763" max="10763" width="13.5703125" customWidth="1"/>
    <col min="11003" max="11003" width="1.7109375" customWidth="1"/>
    <col min="11004" max="11004" width="2" customWidth="1"/>
    <col min="11005" max="11005" width="32.140625" customWidth="1"/>
    <col min="11006" max="11006" width="15.42578125" customWidth="1"/>
    <col min="11007" max="11007" width="14.85546875" customWidth="1"/>
    <col min="11008" max="11008" width="14.28515625" bestFit="1" customWidth="1"/>
    <col min="11009" max="11009" width="0" hidden="1" customWidth="1"/>
    <col min="11010" max="11010" width="16.28515625" customWidth="1"/>
    <col min="11011" max="11011" width="16" customWidth="1"/>
    <col min="11012" max="11012" width="13.85546875" bestFit="1" customWidth="1"/>
    <col min="11013" max="11013" width="2.42578125" customWidth="1"/>
    <col min="11014" max="11014" width="19.42578125" customWidth="1"/>
    <col min="11015" max="11015" width="4.5703125" customWidth="1"/>
    <col min="11016" max="11016" width="13.7109375" customWidth="1"/>
    <col min="11017" max="11017" width="3.42578125" customWidth="1"/>
    <col min="11018" max="11018" width="15.85546875" bestFit="1" customWidth="1"/>
    <col min="11019" max="11019" width="13.5703125" customWidth="1"/>
    <col min="11259" max="11259" width="1.7109375" customWidth="1"/>
    <col min="11260" max="11260" width="2" customWidth="1"/>
    <col min="11261" max="11261" width="32.140625" customWidth="1"/>
    <col min="11262" max="11262" width="15.42578125" customWidth="1"/>
    <col min="11263" max="11263" width="14.85546875" customWidth="1"/>
    <col min="11264" max="11264" width="14.28515625" bestFit="1" customWidth="1"/>
    <col min="11265" max="11265" width="0" hidden="1" customWidth="1"/>
    <col min="11266" max="11266" width="16.28515625" customWidth="1"/>
    <col min="11267" max="11267" width="16" customWidth="1"/>
    <col min="11268" max="11268" width="13.85546875" bestFit="1" customWidth="1"/>
    <col min="11269" max="11269" width="2.42578125" customWidth="1"/>
    <col min="11270" max="11270" width="19.42578125" customWidth="1"/>
    <col min="11271" max="11271" width="4.5703125" customWidth="1"/>
    <col min="11272" max="11272" width="13.7109375" customWidth="1"/>
    <col min="11273" max="11273" width="3.42578125" customWidth="1"/>
    <col min="11274" max="11274" width="15.85546875" bestFit="1" customWidth="1"/>
    <col min="11275" max="11275" width="13.5703125" customWidth="1"/>
    <col min="11515" max="11515" width="1.7109375" customWidth="1"/>
    <col min="11516" max="11516" width="2" customWidth="1"/>
    <col min="11517" max="11517" width="32.140625" customWidth="1"/>
    <col min="11518" max="11518" width="15.42578125" customWidth="1"/>
    <col min="11519" max="11519" width="14.85546875" customWidth="1"/>
    <col min="11520" max="11520" width="14.28515625" bestFit="1" customWidth="1"/>
    <col min="11521" max="11521" width="0" hidden="1" customWidth="1"/>
    <col min="11522" max="11522" width="16.28515625" customWidth="1"/>
    <col min="11523" max="11523" width="16" customWidth="1"/>
    <col min="11524" max="11524" width="13.85546875" bestFit="1" customWidth="1"/>
    <col min="11525" max="11525" width="2.42578125" customWidth="1"/>
    <col min="11526" max="11526" width="19.42578125" customWidth="1"/>
    <col min="11527" max="11527" width="4.5703125" customWidth="1"/>
    <col min="11528" max="11528" width="13.7109375" customWidth="1"/>
    <col min="11529" max="11529" width="3.42578125" customWidth="1"/>
    <col min="11530" max="11530" width="15.85546875" bestFit="1" customWidth="1"/>
    <col min="11531" max="11531" width="13.5703125" customWidth="1"/>
    <col min="11771" max="11771" width="1.7109375" customWidth="1"/>
    <col min="11772" max="11772" width="2" customWidth="1"/>
    <col min="11773" max="11773" width="32.140625" customWidth="1"/>
    <col min="11774" max="11774" width="15.42578125" customWidth="1"/>
    <col min="11775" max="11775" width="14.85546875" customWidth="1"/>
    <col min="11776" max="11776" width="14.28515625" bestFit="1" customWidth="1"/>
    <col min="11777" max="11777" width="0" hidden="1" customWidth="1"/>
    <col min="11778" max="11778" width="16.28515625" customWidth="1"/>
    <col min="11779" max="11779" width="16" customWidth="1"/>
    <col min="11780" max="11780" width="13.85546875" bestFit="1" customWidth="1"/>
    <col min="11781" max="11781" width="2.42578125" customWidth="1"/>
    <col min="11782" max="11782" width="19.42578125" customWidth="1"/>
    <col min="11783" max="11783" width="4.5703125" customWidth="1"/>
    <col min="11784" max="11784" width="13.7109375" customWidth="1"/>
    <col min="11785" max="11785" width="3.42578125" customWidth="1"/>
    <col min="11786" max="11786" width="15.85546875" bestFit="1" customWidth="1"/>
    <col min="11787" max="11787" width="13.5703125" customWidth="1"/>
    <col min="12027" max="12027" width="1.7109375" customWidth="1"/>
    <col min="12028" max="12028" width="2" customWidth="1"/>
    <col min="12029" max="12029" width="32.140625" customWidth="1"/>
    <col min="12030" max="12030" width="15.42578125" customWidth="1"/>
    <col min="12031" max="12031" width="14.85546875" customWidth="1"/>
    <col min="12032" max="12032" width="14.28515625" bestFit="1" customWidth="1"/>
    <col min="12033" max="12033" width="0" hidden="1" customWidth="1"/>
    <col min="12034" max="12034" width="16.28515625" customWidth="1"/>
    <col min="12035" max="12035" width="16" customWidth="1"/>
    <col min="12036" max="12036" width="13.85546875" bestFit="1" customWidth="1"/>
    <col min="12037" max="12037" width="2.42578125" customWidth="1"/>
    <col min="12038" max="12038" width="19.42578125" customWidth="1"/>
    <col min="12039" max="12039" width="4.5703125" customWidth="1"/>
    <col min="12040" max="12040" width="13.7109375" customWidth="1"/>
    <col min="12041" max="12041" width="3.42578125" customWidth="1"/>
    <col min="12042" max="12042" width="15.85546875" bestFit="1" customWidth="1"/>
    <col min="12043" max="12043" width="13.5703125" customWidth="1"/>
    <col min="12283" max="12283" width="1.7109375" customWidth="1"/>
    <col min="12284" max="12284" width="2" customWidth="1"/>
    <col min="12285" max="12285" width="32.140625" customWidth="1"/>
    <col min="12286" max="12286" width="15.42578125" customWidth="1"/>
    <col min="12287" max="12287" width="14.85546875" customWidth="1"/>
    <col min="12288" max="12288" width="14.28515625" bestFit="1" customWidth="1"/>
    <col min="12289" max="12289" width="0" hidden="1" customWidth="1"/>
    <col min="12290" max="12290" width="16.28515625" customWidth="1"/>
    <col min="12291" max="12291" width="16" customWidth="1"/>
    <col min="12292" max="12292" width="13.85546875" bestFit="1" customWidth="1"/>
    <col min="12293" max="12293" width="2.42578125" customWidth="1"/>
    <col min="12294" max="12294" width="19.42578125" customWidth="1"/>
    <col min="12295" max="12295" width="4.5703125" customWidth="1"/>
    <col min="12296" max="12296" width="13.7109375" customWidth="1"/>
    <col min="12297" max="12297" width="3.42578125" customWidth="1"/>
    <col min="12298" max="12298" width="15.85546875" bestFit="1" customWidth="1"/>
    <col min="12299" max="12299" width="13.5703125" customWidth="1"/>
    <col min="12539" max="12539" width="1.7109375" customWidth="1"/>
    <col min="12540" max="12540" width="2" customWidth="1"/>
    <col min="12541" max="12541" width="32.140625" customWidth="1"/>
    <col min="12542" max="12542" width="15.42578125" customWidth="1"/>
    <col min="12543" max="12543" width="14.85546875" customWidth="1"/>
    <col min="12544" max="12544" width="14.28515625" bestFit="1" customWidth="1"/>
    <col min="12545" max="12545" width="0" hidden="1" customWidth="1"/>
    <col min="12546" max="12546" width="16.28515625" customWidth="1"/>
    <col min="12547" max="12547" width="16" customWidth="1"/>
    <col min="12548" max="12548" width="13.85546875" bestFit="1" customWidth="1"/>
    <col min="12549" max="12549" width="2.42578125" customWidth="1"/>
    <col min="12550" max="12550" width="19.42578125" customWidth="1"/>
    <col min="12551" max="12551" width="4.5703125" customWidth="1"/>
    <col min="12552" max="12552" width="13.7109375" customWidth="1"/>
    <col min="12553" max="12553" width="3.42578125" customWidth="1"/>
    <col min="12554" max="12554" width="15.85546875" bestFit="1" customWidth="1"/>
    <col min="12555" max="12555" width="13.5703125" customWidth="1"/>
    <col min="12795" max="12795" width="1.7109375" customWidth="1"/>
    <col min="12796" max="12796" width="2" customWidth="1"/>
    <col min="12797" max="12797" width="32.140625" customWidth="1"/>
    <col min="12798" max="12798" width="15.42578125" customWidth="1"/>
    <col min="12799" max="12799" width="14.85546875" customWidth="1"/>
    <col min="12800" max="12800" width="14.28515625" bestFit="1" customWidth="1"/>
    <col min="12801" max="12801" width="0" hidden="1" customWidth="1"/>
    <col min="12802" max="12802" width="16.28515625" customWidth="1"/>
    <col min="12803" max="12803" width="16" customWidth="1"/>
    <col min="12804" max="12804" width="13.85546875" bestFit="1" customWidth="1"/>
    <col min="12805" max="12805" width="2.42578125" customWidth="1"/>
    <col min="12806" max="12806" width="19.42578125" customWidth="1"/>
    <col min="12807" max="12807" width="4.5703125" customWidth="1"/>
    <col min="12808" max="12808" width="13.7109375" customWidth="1"/>
    <col min="12809" max="12809" width="3.42578125" customWidth="1"/>
    <col min="12810" max="12810" width="15.85546875" bestFit="1" customWidth="1"/>
    <col min="12811" max="12811" width="13.5703125" customWidth="1"/>
    <col min="13051" max="13051" width="1.7109375" customWidth="1"/>
    <col min="13052" max="13052" width="2" customWidth="1"/>
    <col min="13053" max="13053" width="32.140625" customWidth="1"/>
    <col min="13054" max="13054" width="15.42578125" customWidth="1"/>
    <col min="13055" max="13055" width="14.85546875" customWidth="1"/>
    <col min="13056" max="13056" width="14.28515625" bestFit="1" customWidth="1"/>
    <col min="13057" max="13057" width="0" hidden="1" customWidth="1"/>
    <col min="13058" max="13058" width="16.28515625" customWidth="1"/>
    <col min="13059" max="13059" width="16" customWidth="1"/>
    <col min="13060" max="13060" width="13.85546875" bestFit="1" customWidth="1"/>
    <col min="13061" max="13061" width="2.42578125" customWidth="1"/>
    <col min="13062" max="13062" width="19.42578125" customWidth="1"/>
    <col min="13063" max="13063" width="4.5703125" customWidth="1"/>
    <col min="13064" max="13064" width="13.7109375" customWidth="1"/>
    <col min="13065" max="13065" width="3.42578125" customWidth="1"/>
    <col min="13066" max="13066" width="15.85546875" bestFit="1" customWidth="1"/>
    <col min="13067" max="13067" width="13.5703125" customWidth="1"/>
    <col min="13307" max="13307" width="1.7109375" customWidth="1"/>
    <col min="13308" max="13308" width="2" customWidth="1"/>
    <col min="13309" max="13309" width="32.140625" customWidth="1"/>
    <col min="13310" max="13310" width="15.42578125" customWidth="1"/>
    <col min="13311" max="13311" width="14.85546875" customWidth="1"/>
    <col min="13312" max="13312" width="14.28515625" bestFit="1" customWidth="1"/>
    <col min="13313" max="13313" width="0" hidden="1" customWidth="1"/>
    <col min="13314" max="13314" width="16.28515625" customWidth="1"/>
    <col min="13315" max="13315" width="16" customWidth="1"/>
    <col min="13316" max="13316" width="13.85546875" bestFit="1" customWidth="1"/>
    <col min="13317" max="13317" width="2.42578125" customWidth="1"/>
    <col min="13318" max="13318" width="19.42578125" customWidth="1"/>
    <col min="13319" max="13319" width="4.5703125" customWidth="1"/>
    <col min="13320" max="13320" width="13.7109375" customWidth="1"/>
    <col min="13321" max="13321" width="3.42578125" customWidth="1"/>
    <col min="13322" max="13322" width="15.85546875" bestFit="1" customWidth="1"/>
    <col min="13323" max="13323" width="13.5703125" customWidth="1"/>
    <col min="13563" max="13563" width="1.7109375" customWidth="1"/>
    <col min="13564" max="13564" width="2" customWidth="1"/>
    <col min="13565" max="13565" width="32.140625" customWidth="1"/>
    <col min="13566" max="13566" width="15.42578125" customWidth="1"/>
    <col min="13567" max="13567" width="14.85546875" customWidth="1"/>
    <col min="13568" max="13568" width="14.28515625" bestFit="1" customWidth="1"/>
    <col min="13569" max="13569" width="0" hidden="1" customWidth="1"/>
    <col min="13570" max="13570" width="16.28515625" customWidth="1"/>
    <col min="13571" max="13571" width="16" customWidth="1"/>
    <col min="13572" max="13572" width="13.85546875" bestFit="1" customWidth="1"/>
    <col min="13573" max="13573" width="2.42578125" customWidth="1"/>
    <col min="13574" max="13574" width="19.42578125" customWidth="1"/>
    <col min="13575" max="13575" width="4.5703125" customWidth="1"/>
    <col min="13576" max="13576" width="13.7109375" customWidth="1"/>
    <col min="13577" max="13577" width="3.42578125" customWidth="1"/>
    <col min="13578" max="13578" width="15.85546875" bestFit="1" customWidth="1"/>
    <col min="13579" max="13579" width="13.5703125" customWidth="1"/>
    <col min="13819" max="13819" width="1.7109375" customWidth="1"/>
    <col min="13820" max="13820" width="2" customWidth="1"/>
    <col min="13821" max="13821" width="32.140625" customWidth="1"/>
    <col min="13822" max="13822" width="15.42578125" customWidth="1"/>
    <col min="13823" max="13823" width="14.85546875" customWidth="1"/>
    <col min="13824" max="13824" width="14.28515625" bestFit="1" customWidth="1"/>
    <col min="13825" max="13825" width="0" hidden="1" customWidth="1"/>
    <col min="13826" max="13826" width="16.28515625" customWidth="1"/>
    <col min="13827" max="13827" width="16" customWidth="1"/>
    <col min="13828" max="13828" width="13.85546875" bestFit="1" customWidth="1"/>
    <col min="13829" max="13829" width="2.42578125" customWidth="1"/>
    <col min="13830" max="13830" width="19.42578125" customWidth="1"/>
    <col min="13831" max="13831" width="4.5703125" customWidth="1"/>
    <col min="13832" max="13832" width="13.7109375" customWidth="1"/>
    <col min="13833" max="13833" width="3.42578125" customWidth="1"/>
    <col min="13834" max="13834" width="15.85546875" bestFit="1" customWidth="1"/>
    <col min="13835" max="13835" width="13.5703125" customWidth="1"/>
    <col min="14075" max="14075" width="1.7109375" customWidth="1"/>
    <col min="14076" max="14076" width="2" customWidth="1"/>
    <col min="14077" max="14077" width="32.140625" customWidth="1"/>
    <col min="14078" max="14078" width="15.42578125" customWidth="1"/>
    <col min="14079" max="14079" width="14.85546875" customWidth="1"/>
    <col min="14080" max="14080" width="14.28515625" bestFit="1" customWidth="1"/>
    <col min="14081" max="14081" width="0" hidden="1" customWidth="1"/>
    <col min="14082" max="14082" width="16.28515625" customWidth="1"/>
    <col min="14083" max="14083" width="16" customWidth="1"/>
    <col min="14084" max="14084" width="13.85546875" bestFit="1" customWidth="1"/>
    <col min="14085" max="14085" width="2.42578125" customWidth="1"/>
    <col min="14086" max="14086" width="19.42578125" customWidth="1"/>
    <col min="14087" max="14087" width="4.5703125" customWidth="1"/>
    <col min="14088" max="14088" width="13.7109375" customWidth="1"/>
    <col min="14089" max="14089" width="3.42578125" customWidth="1"/>
    <col min="14090" max="14090" width="15.85546875" bestFit="1" customWidth="1"/>
    <col min="14091" max="14091" width="13.5703125" customWidth="1"/>
    <col min="14331" max="14331" width="1.7109375" customWidth="1"/>
    <col min="14332" max="14332" width="2" customWidth="1"/>
    <col min="14333" max="14333" width="32.140625" customWidth="1"/>
    <col min="14334" max="14334" width="15.42578125" customWidth="1"/>
    <col min="14335" max="14335" width="14.85546875" customWidth="1"/>
    <col min="14336" max="14336" width="14.28515625" bestFit="1" customWidth="1"/>
    <col min="14337" max="14337" width="0" hidden="1" customWidth="1"/>
    <col min="14338" max="14338" width="16.28515625" customWidth="1"/>
    <col min="14339" max="14339" width="16" customWidth="1"/>
    <col min="14340" max="14340" width="13.85546875" bestFit="1" customWidth="1"/>
    <col min="14341" max="14341" width="2.42578125" customWidth="1"/>
    <col min="14342" max="14342" width="19.42578125" customWidth="1"/>
    <col min="14343" max="14343" width="4.5703125" customWidth="1"/>
    <col min="14344" max="14344" width="13.7109375" customWidth="1"/>
    <col min="14345" max="14345" width="3.42578125" customWidth="1"/>
    <col min="14346" max="14346" width="15.85546875" bestFit="1" customWidth="1"/>
    <col min="14347" max="14347" width="13.5703125" customWidth="1"/>
    <col min="14587" max="14587" width="1.7109375" customWidth="1"/>
    <col min="14588" max="14588" width="2" customWidth="1"/>
    <col min="14589" max="14589" width="32.140625" customWidth="1"/>
    <col min="14590" max="14590" width="15.42578125" customWidth="1"/>
    <col min="14591" max="14591" width="14.85546875" customWidth="1"/>
    <col min="14592" max="14592" width="14.28515625" bestFit="1" customWidth="1"/>
    <col min="14593" max="14593" width="0" hidden="1" customWidth="1"/>
    <col min="14594" max="14594" width="16.28515625" customWidth="1"/>
    <col min="14595" max="14595" width="16" customWidth="1"/>
    <col min="14596" max="14596" width="13.85546875" bestFit="1" customWidth="1"/>
    <col min="14597" max="14597" width="2.42578125" customWidth="1"/>
    <col min="14598" max="14598" width="19.42578125" customWidth="1"/>
    <col min="14599" max="14599" width="4.5703125" customWidth="1"/>
    <col min="14600" max="14600" width="13.7109375" customWidth="1"/>
    <col min="14601" max="14601" width="3.42578125" customWidth="1"/>
    <col min="14602" max="14602" width="15.85546875" bestFit="1" customWidth="1"/>
    <col min="14603" max="14603" width="13.5703125" customWidth="1"/>
    <col min="14843" max="14843" width="1.7109375" customWidth="1"/>
    <col min="14844" max="14844" width="2" customWidth="1"/>
    <col min="14845" max="14845" width="32.140625" customWidth="1"/>
    <col min="14846" max="14846" width="15.42578125" customWidth="1"/>
    <col min="14847" max="14847" width="14.85546875" customWidth="1"/>
    <col min="14848" max="14848" width="14.28515625" bestFit="1" customWidth="1"/>
    <col min="14849" max="14849" width="0" hidden="1" customWidth="1"/>
    <col min="14850" max="14850" width="16.28515625" customWidth="1"/>
    <col min="14851" max="14851" width="16" customWidth="1"/>
    <col min="14852" max="14852" width="13.85546875" bestFit="1" customWidth="1"/>
    <col min="14853" max="14853" width="2.42578125" customWidth="1"/>
    <col min="14854" max="14854" width="19.42578125" customWidth="1"/>
    <col min="14855" max="14855" width="4.5703125" customWidth="1"/>
    <col min="14856" max="14856" width="13.7109375" customWidth="1"/>
    <col min="14857" max="14857" width="3.42578125" customWidth="1"/>
    <col min="14858" max="14858" width="15.85546875" bestFit="1" customWidth="1"/>
    <col min="14859" max="14859" width="13.5703125" customWidth="1"/>
    <col min="15099" max="15099" width="1.7109375" customWidth="1"/>
    <col min="15100" max="15100" width="2" customWidth="1"/>
    <col min="15101" max="15101" width="32.140625" customWidth="1"/>
    <col min="15102" max="15102" width="15.42578125" customWidth="1"/>
    <col min="15103" max="15103" width="14.85546875" customWidth="1"/>
    <col min="15104" max="15104" width="14.28515625" bestFit="1" customWidth="1"/>
    <col min="15105" max="15105" width="0" hidden="1" customWidth="1"/>
    <col min="15106" max="15106" width="16.28515625" customWidth="1"/>
    <col min="15107" max="15107" width="16" customWidth="1"/>
    <col min="15108" max="15108" width="13.85546875" bestFit="1" customWidth="1"/>
    <col min="15109" max="15109" width="2.42578125" customWidth="1"/>
    <col min="15110" max="15110" width="19.42578125" customWidth="1"/>
    <col min="15111" max="15111" width="4.5703125" customWidth="1"/>
    <col min="15112" max="15112" width="13.7109375" customWidth="1"/>
    <col min="15113" max="15113" width="3.42578125" customWidth="1"/>
    <col min="15114" max="15114" width="15.85546875" bestFit="1" customWidth="1"/>
    <col min="15115" max="15115" width="13.5703125" customWidth="1"/>
    <col min="15355" max="15355" width="1.7109375" customWidth="1"/>
    <col min="15356" max="15356" width="2" customWidth="1"/>
    <col min="15357" max="15357" width="32.140625" customWidth="1"/>
    <col min="15358" max="15358" width="15.42578125" customWidth="1"/>
    <col min="15359" max="15359" width="14.85546875" customWidth="1"/>
    <col min="15360" max="15360" width="14.28515625" bestFit="1" customWidth="1"/>
    <col min="15361" max="15361" width="0" hidden="1" customWidth="1"/>
    <col min="15362" max="15362" width="16.28515625" customWidth="1"/>
    <col min="15363" max="15363" width="16" customWidth="1"/>
    <col min="15364" max="15364" width="13.85546875" bestFit="1" customWidth="1"/>
    <col min="15365" max="15365" width="2.42578125" customWidth="1"/>
    <col min="15366" max="15366" width="19.42578125" customWidth="1"/>
    <col min="15367" max="15367" width="4.5703125" customWidth="1"/>
    <col min="15368" max="15368" width="13.7109375" customWidth="1"/>
    <col min="15369" max="15369" width="3.42578125" customWidth="1"/>
    <col min="15370" max="15370" width="15.85546875" bestFit="1" customWidth="1"/>
    <col min="15371" max="15371" width="13.5703125" customWidth="1"/>
    <col min="15611" max="15611" width="1.7109375" customWidth="1"/>
    <col min="15612" max="15612" width="2" customWidth="1"/>
    <col min="15613" max="15613" width="32.140625" customWidth="1"/>
    <col min="15614" max="15614" width="15.42578125" customWidth="1"/>
    <col min="15615" max="15615" width="14.85546875" customWidth="1"/>
    <col min="15616" max="15616" width="14.28515625" bestFit="1" customWidth="1"/>
    <col min="15617" max="15617" width="0" hidden="1" customWidth="1"/>
    <col min="15618" max="15618" width="16.28515625" customWidth="1"/>
    <col min="15619" max="15619" width="16" customWidth="1"/>
    <col min="15620" max="15620" width="13.85546875" bestFit="1" customWidth="1"/>
    <col min="15621" max="15621" width="2.42578125" customWidth="1"/>
    <col min="15622" max="15622" width="19.42578125" customWidth="1"/>
    <col min="15623" max="15623" width="4.5703125" customWidth="1"/>
    <col min="15624" max="15624" width="13.7109375" customWidth="1"/>
    <col min="15625" max="15625" width="3.42578125" customWidth="1"/>
    <col min="15626" max="15626" width="15.85546875" bestFit="1" customWidth="1"/>
    <col min="15627" max="15627" width="13.5703125" customWidth="1"/>
    <col min="15867" max="15867" width="1.7109375" customWidth="1"/>
    <col min="15868" max="15868" width="2" customWidth="1"/>
    <col min="15869" max="15869" width="32.140625" customWidth="1"/>
    <col min="15870" max="15870" width="15.42578125" customWidth="1"/>
    <col min="15871" max="15871" width="14.85546875" customWidth="1"/>
    <col min="15872" max="15872" width="14.28515625" bestFit="1" customWidth="1"/>
    <col min="15873" max="15873" width="0" hidden="1" customWidth="1"/>
    <col min="15874" max="15874" width="16.28515625" customWidth="1"/>
    <col min="15875" max="15875" width="16" customWidth="1"/>
    <col min="15876" max="15876" width="13.85546875" bestFit="1" customWidth="1"/>
    <col min="15877" max="15877" width="2.42578125" customWidth="1"/>
    <col min="15878" max="15878" width="19.42578125" customWidth="1"/>
    <col min="15879" max="15879" width="4.5703125" customWidth="1"/>
    <col min="15880" max="15880" width="13.7109375" customWidth="1"/>
    <col min="15881" max="15881" width="3.42578125" customWidth="1"/>
    <col min="15882" max="15882" width="15.85546875" bestFit="1" customWidth="1"/>
    <col min="15883" max="15883" width="13.5703125" customWidth="1"/>
    <col min="16123" max="16123" width="1.7109375" customWidth="1"/>
    <col min="16124" max="16124" width="2" customWidth="1"/>
    <col min="16125" max="16125" width="32.140625" customWidth="1"/>
    <col min="16126" max="16126" width="15.42578125" customWidth="1"/>
    <col min="16127" max="16127" width="14.85546875" customWidth="1"/>
    <col min="16128" max="16128" width="14.28515625" bestFit="1" customWidth="1"/>
    <col min="16129" max="16129" width="0" hidden="1" customWidth="1"/>
    <col min="16130" max="16130" width="16.28515625" customWidth="1"/>
    <col min="16131" max="16131" width="16" customWidth="1"/>
    <col min="16132" max="16132" width="13.85546875" bestFit="1" customWidth="1"/>
    <col min="16133" max="16133" width="2.42578125" customWidth="1"/>
    <col min="16134" max="16134" width="19.42578125" customWidth="1"/>
    <col min="16135" max="16135" width="4.5703125" customWidth="1"/>
    <col min="16136" max="16136" width="13.7109375" customWidth="1"/>
    <col min="16137" max="16137" width="3.42578125" customWidth="1"/>
    <col min="16138" max="16138" width="15.85546875" bestFit="1" customWidth="1"/>
    <col min="16139" max="16139" width="13.5703125" customWidth="1"/>
  </cols>
  <sheetData>
    <row r="1" spans="1:19" ht="18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9" ht="15.75" x14ac:dyDescent="0.25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9" ht="16.5" thickBot="1" x14ac:dyDescent="0.3">
      <c r="A3" s="200" t="s">
        <v>87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</row>
    <row r="4" spans="1:19" ht="13.5" thickBot="1" x14ac:dyDescent="0.25">
      <c r="A4" s="1"/>
      <c r="B4" s="2"/>
      <c r="C4" s="3"/>
      <c r="D4" s="203" t="s">
        <v>88</v>
      </c>
      <c r="E4" s="204"/>
      <c r="F4" s="205"/>
      <c r="G4" s="119"/>
      <c r="H4" s="4"/>
      <c r="I4" s="203" t="s">
        <v>89</v>
      </c>
      <c r="J4" s="204"/>
      <c r="K4" s="205"/>
    </row>
    <row r="5" spans="1:19" x14ac:dyDescent="0.2">
      <c r="A5" s="5"/>
      <c r="B5" s="6"/>
      <c r="C5" s="7"/>
      <c r="D5" s="8" t="s">
        <v>5</v>
      </c>
      <c r="E5" s="9" t="s">
        <v>6</v>
      </c>
      <c r="F5" s="10" t="s">
        <v>7</v>
      </c>
      <c r="G5" s="120"/>
      <c r="H5" s="11"/>
      <c r="I5" s="12" t="s">
        <v>5</v>
      </c>
      <c r="J5" s="13" t="s">
        <v>6</v>
      </c>
      <c r="K5" s="14" t="s">
        <v>7</v>
      </c>
    </row>
    <row r="6" spans="1:19" x14ac:dyDescent="0.2">
      <c r="A6" s="15" t="s">
        <v>8</v>
      </c>
      <c r="B6" s="16"/>
      <c r="C6" s="17"/>
      <c r="D6" s="18"/>
      <c r="E6" s="19"/>
      <c r="F6" s="20"/>
      <c r="G6" s="121"/>
      <c r="H6" s="21"/>
      <c r="I6" s="22"/>
      <c r="J6" s="19"/>
      <c r="K6" s="23"/>
    </row>
    <row r="7" spans="1:19" x14ac:dyDescent="0.2">
      <c r="A7" s="24" t="s">
        <v>9</v>
      </c>
      <c r="C7" s="26"/>
      <c r="D7" s="27">
        <v>46837091.939999998</v>
      </c>
      <c r="E7" s="28">
        <v>46414300</v>
      </c>
      <c r="F7" s="29">
        <f t="shared" ref="F7:F23" si="0">+E7-D7</f>
        <v>-422791.93999999762</v>
      </c>
      <c r="G7" s="26"/>
      <c r="H7" s="30" t="s">
        <v>10</v>
      </c>
      <c r="I7" s="31">
        <f>+ROUND(541972063.89,0)</f>
        <v>541972064</v>
      </c>
      <c r="J7" s="28">
        <v>556973600</v>
      </c>
      <c r="K7" s="33">
        <f>+J7-I7</f>
        <v>15001536</v>
      </c>
      <c r="L7" s="111"/>
      <c r="M7" s="118" t="s">
        <v>90</v>
      </c>
    </row>
    <row r="8" spans="1:19" x14ac:dyDescent="0.2">
      <c r="A8" s="24" t="s">
        <v>11</v>
      </c>
      <c r="C8" s="26"/>
      <c r="D8" s="34">
        <v>26075287</v>
      </c>
      <c r="E8" s="35">
        <v>12738933</v>
      </c>
      <c r="F8" s="36">
        <f>+E8-D8</f>
        <v>-13336354</v>
      </c>
      <c r="G8" s="122"/>
      <c r="H8" s="30" t="s">
        <v>10</v>
      </c>
      <c r="I8" s="37">
        <f>+ROUND(136038405,0)</f>
        <v>136038405</v>
      </c>
      <c r="J8" s="35">
        <v>100464365</v>
      </c>
      <c r="K8" s="82">
        <f>+J8-I8</f>
        <v>-35574040</v>
      </c>
      <c r="M8" s="118" t="s">
        <v>91</v>
      </c>
    </row>
    <row r="9" spans="1:19" x14ac:dyDescent="0.2">
      <c r="A9" s="24" t="s">
        <v>12</v>
      </c>
      <c r="C9" s="26"/>
      <c r="D9" s="34">
        <v>32123691.219999999</v>
      </c>
      <c r="E9" s="35">
        <v>31739948</v>
      </c>
      <c r="F9" s="36">
        <f t="shared" si="0"/>
        <v>-383743.21999999881</v>
      </c>
      <c r="G9" s="26"/>
      <c r="H9" s="30" t="s">
        <v>10</v>
      </c>
      <c r="I9" s="37">
        <f>+ROUND(371716998.39,0)</f>
        <v>371716998</v>
      </c>
      <c r="J9" s="35">
        <v>380880744</v>
      </c>
      <c r="K9" s="82">
        <f>+J9-I9</f>
        <v>9163746</v>
      </c>
      <c r="L9" s="111"/>
      <c r="M9" s="118" t="s">
        <v>90</v>
      </c>
    </row>
    <row r="10" spans="1:19" x14ac:dyDescent="0.2">
      <c r="B10" s="6" t="s">
        <v>13</v>
      </c>
      <c r="C10" s="26"/>
      <c r="D10" s="40">
        <f>SUM(D7:D9)</f>
        <v>105036070.16</v>
      </c>
      <c r="E10" s="41">
        <v>90893181</v>
      </c>
      <c r="F10" s="42">
        <f t="shared" si="0"/>
        <v>-14142889.159999996</v>
      </c>
      <c r="G10" s="26"/>
      <c r="H10" s="30"/>
      <c r="I10" s="43">
        <f>SUM(I7:I9)</f>
        <v>1049727467</v>
      </c>
      <c r="J10" s="123">
        <f>SUM(J7:J9)</f>
        <v>1038318709</v>
      </c>
      <c r="K10" s="55">
        <f t="shared" ref="K10:K15" si="1">SUM(J10-I10)</f>
        <v>-11408758</v>
      </c>
      <c r="L10" s="111" t="s">
        <v>92</v>
      </c>
    </row>
    <row r="11" spans="1:19" x14ac:dyDescent="0.2">
      <c r="A11" s="24" t="s">
        <v>14</v>
      </c>
      <c r="C11" s="26"/>
      <c r="D11" s="46">
        <f>+E11</f>
        <v>3546258</v>
      </c>
      <c r="E11" s="28">
        <v>3546258</v>
      </c>
      <c r="F11" s="36">
        <f t="shared" si="0"/>
        <v>0</v>
      </c>
      <c r="G11" s="26"/>
      <c r="H11" s="30"/>
      <c r="I11" s="47">
        <f>31954038</f>
        <v>31954038</v>
      </c>
      <c r="J11" s="28">
        <f>31954038</f>
        <v>31954038</v>
      </c>
      <c r="K11" s="53">
        <f t="shared" si="1"/>
        <v>0</v>
      </c>
      <c r="L11" s="111"/>
      <c r="N11" s="111"/>
      <c r="O11" s="111"/>
      <c r="P11" s="111"/>
      <c r="Q11" s="111"/>
      <c r="R11" s="111"/>
      <c r="S11" s="111"/>
    </row>
    <row r="12" spans="1:19" x14ac:dyDescent="0.2">
      <c r="A12" s="24" t="s">
        <v>15</v>
      </c>
      <c r="C12" s="26"/>
      <c r="D12" s="34">
        <f>+E12</f>
        <v>2528802.5699999998</v>
      </c>
      <c r="E12" s="19">
        <v>2528802.5699999998</v>
      </c>
      <c r="F12" s="36">
        <f t="shared" si="0"/>
        <v>0</v>
      </c>
      <c r="G12" s="26"/>
      <c r="H12" s="30"/>
      <c r="I12" s="49">
        <f>+ROUND(11916900.5,0)</f>
        <v>11916901</v>
      </c>
      <c r="J12" s="35">
        <f>+ROUND(11916900.5,0)</f>
        <v>11916901</v>
      </c>
      <c r="K12" s="53">
        <f t="shared" si="1"/>
        <v>0</v>
      </c>
      <c r="L12" s="124"/>
      <c r="N12" s="111"/>
      <c r="O12" s="111"/>
      <c r="P12" s="111"/>
      <c r="Q12" s="111"/>
      <c r="R12" s="111"/>
      <c r="S12" s="111"/>
    </row>
    <row r="13" spans="1:19" x14ac:dyDescent="0.2">
      <c r="A13" s="24" t="s">
        <v>16</v>
      </c>
      <c r="C13" s="26"/>
      <c r="D13" s="34">
        <f>+E13</f>
        <v>1081279.8400000001</v>
      </c>
      <c r="E13" s="35">
        <v>1081279.8400000001</v>
      </c>
      <c r="F13" s="36">
        <f t="shared" si="0"/>
        <v>0</v>
      </c>
      <c r="G13" s="26"/>
      <c r="H13" s="30"/>
      <c r="I13" s="49">
        <f>+ROUND(42848435.65,0)</f>
        <v>42848436</v>
      </c>
      <c r="J13" s="35">
        <f>+ROUND(42848435.65,0)</f>
        <v>42848436</v>
      </c>
      <c r="K13" s="53">
        <f t="shared" si="1"/>
        <v>0</v>
      </c>
      <c r="L13" s="111"/>
      <c r="N13" s="111"/>
      <c r="O13" s="111"/>
      <c r="P13" s="111"/>
      <c r="Q13" s="111"/>
      <c r="R13" s="111"/>
      <c r="S13" s="111"/>
    </row>
    <row r="14" spans="1:19" x14ac:dyDescent="0.2">
      <c r="A14" s="24" t="s">
        <v>17</v>
      </c>
      <c r="C14" s="26"/>
      <c r="D14" s="34">
        <f>+E14</f>
        <v>4666461.71</v>
      </c>
      <c r="E14" s="19">
        <v>4666461.71</v>
      </c>
      <c r="F14" s="36">
        <f t="shared" si="0"/>
        <v>0</v>
      </c>
      <c r="G14" s="26"/>
      <c r="H14" s="30"/>
      <c r="I14" s="49">
        <f>+ROUND(53495912.8,0)</f>
        <v>53495913</v>
      </c>
      <c r="J14" s="35">
        <f>+ROUND(53495912.8,0)</f>
        <v>53495913</v>
      </c>
      <c r="K14" s="53">
        <f t="shared" si="1"/>
        <v>0</v>
      </c>
      <c r="L14" s="124"/>
      <c r="N14" s="111"/>
      <c r="O14" s="111"/>
      <c r="P14" s="111"/>
      <c r="Q14" s="111"/>
      <c r="R14" s="111"/>
      <c r="S14" s="111"/>
    </row>
    <row r="15" spans="1:19" x14ac:dyDescent="0.2">
      <c r="B15" s="6" t="s">
        <v>18</v>
      </c>
      <c r="C15" s="26"/>
      <c r="D15" s="40">
        <f>SUM(D11:D14)</f>
        <v>11822802.120000001</v>
      </c>
      <c r="E15" s="41">
        <v>11822802.120000001</v>
      </c>
      <c r="F15" s="42">
        <f t="shared" si="0"/>
        <v>0</v>
      </c>
      <c r="G15" s="26"/>
      <c r="H15" s="30"/>
      <c r="I15" s="43">
        <f>SUM(I11:I14)</f>
        <v>140215288</v>
      </c>
      <c r="J15" s="54">
        <f>SUM(J11:J14)</f>
        <v>140215288</v>
      </c>
      <c r="K15" s="55">
        <f t="shared" si="1"/>
        <v>0</v>
      </c>
      <c r="L15" s="111"/>
    </row>
    <row r="16" spans="1:19" x14ac:dyDescent="0.2">
      <c r="A16" s="24" t="s">
        <v>19</v>
      </c>
      <c r="C16" s="26"/>
      <c r="D16" s="46">
        <v>8957567.5668614991</v>
      </c>
      <c r="E16" s="32">
        <v>5436004.7699999996</v>
      </c>
      <c r="F16" s="50">
        <f t="shared" si="0"/>
        <v>-3521562.7968614995</v>
      </c>
      <c r="G16" s="125"/>
      <c r="H16" s="30" t="s">
        <v>20</v>
      </c>
      <c r="I16" s="47">
        <f>+ROUND(98659104.8892361,0)</f>
        <v>98659105</v>
      </c>
      <c r="J16" s="28">
        <f>+ROUND(86859691.77,0)</f>
        <v>86859692</v>
      </c>
      <c r="K16" s="53">
        <f>+J16-I16</f>
        <v>-11799413</v>
      </c>
      <c r="L16" s="111"/>
      <c r="M16" s="118" t="s">
        <v>93</v>
      </c>
      <c r="N16" s="111"/>
      <c r="O16" s="111"/>
      <c r="P16" s="111"/>
      <c r="Q16" s="111"/>
      <c r="R16" s="111"/>
      <c r="S16" s="111"/>
    </row>
    <row r="17" spans="1:19" x14ac:dyDescent="0.2">
      <c r="A17" s="24" t="s">
        <v>21</v>
      </c>
      <c r="C17" s="26"/>
      <c r="D17" s="34">
        <v>3731837.3084962922</v>
      </c>
      <c r="E17" s="51">
        <v>4042176.31</v>
      </c>
      <c r="F17" s="50">
        <f t="shared" si="0"/>
        <v>310339.00150370784</v>
      </c>
      <c r="G17" s="125"/>
      <c r="H17" s="30" t="s">
        <v>22</v>
      </c>
      <c r="I17" s="49">
        <f>+ROUND(254046824.423876,0)</f>
        <v>254046824</v>
      </c>
      <c r="J17" s="35">
        <f>+ROUND(258417395.48,0)</f>
        <v>258417395</v>
      </c>
      <c r="K17" s="53">
        <f>+J17-I17</f>
        <v>4370571</v>
      </c>
      <c r="L17" s="111"/>
      <c r="M17" s="118" t="s">
        <v>94</v>
      </c>
      <c r="N17" s="111"/>
      <c r="O17" s="111"/>
      <c r="P17" s="111"/>
      <c r="Q17" s="111"/>
      <c r="R17" s="111"/>
      <c r="S17" s="111"/>
    </row>
    <row r="18" spans="1:19" x14ac:dyDescent="0.2">
      <c r="A18" s="24" t="s">
        <v>23</v>
      </c>
      <c r="C18" s="26"/>
      <c r="D18" s="34">
        <v>6396581.2782090604</v>
      </c>
      <c r="E18" s="51">
        <v>6954360.0300000003</v>
      </c>
      <c r="F18" s="50">
        <f t="shared" si="0"/>
        <v>557778.75179093983</v>
      </c>
      <c r="G18" s="125"/>
      <c r="H18" s="30" t="s">
        <v>25</v>
      </c>
      <c r="I18" s="49">
        <f>+ROUND(100399436.817977,0)</f>
        <v>100399437</v>
      </c>
      <c r="J18" s="35">
        <f>+ROUND(102654081.44,0)</f>
        <v>102654081</v>
      </c>
      <c r="K18" s="53">
        <f t="shared" ref="K18:K23" si="2">+J18-I18</f>
        <v>2254644</v>
      </c>
      <c r="L18" s="111"/>
      <c r="M18" s="118" t="s">
        <v>95</v>
      </c>
      <c r="N18" s="111"/>
      <c r="O18" s="111"/>
      <c r="P18" s="111"/>
      <c r="Q18" s="111"/>
      <c r="R18" s="111"/>
      <c r="S18" s="111"/>
    </row>
    <row r="19" spans="1:19" x14ac:dyDescent="0.2">
      <c r="A19" s="24" t="s">
        <v>24</v>
      </c>
      <c r="C19" s="26"/>
      <c r="D19" s="34">
        <v>1771586.621630199</v>
      </c>
      <c r="E19" s="51">
        <v>284096</v>
      </c>
      <c r="F19" s="50">
        <f t="shared" si="0"/>
        <v>-1487490.621630199</v>
      </c>
      <c r="G19" s="125"/>
      <c r="H19" s="30" t="s">
        <v>28</v>
      </c>
      <c r="I19" s="49">
        <f>+ROUND(8102368.44739606,0)</f>
        <v>8102368</v>
      </c>
      <c r="J19" s="35">
        <v>4619132</v>
      </c>
      <c r="K19" s="53">
        <f t="shared" si="2"/>
        <v>-3483236</v>
      </c>
      <c r="L19" s="111"/>
      <c r="M19" s="118" t="s">
        <v>96</v>
      </c>
    </row>
    <row r="20" spans="1:19" x14ac:dyDescent="0.2">
      <c r="A20" s="24" t="s">
        <v>26</v>
      </c>
      <c r="C20" s="26"/>
      <c r="D20" s="34">
        <v>1210609.2731527898</v>
      </c>
      <c r="E20" s="51">
        <v>1416907.88</v>
      </c>
      <c r="F20" s="50">
        <f t="shared" si="0"/>
        <v>206298.60684721009</v>
      </c>
      <c r="G20" s="125"/>
      <c r="H20" s="30"/>
      <c r="I20" s="49">
        <f>+ROUND(5921441.025296,0)</f>
        <v>5921441</v>
      </c>
      <c r="J20" s="35">
        <f>+ROUND(5710172.18,0)</f>
        <v>5710172</v>
      </c>
      <c r="K20" s="53">
        <f t="shared" si="2"/>
        <v>-211269</v>
      </c>
      <c r="L20" s="111"/>
    </row>
    <row r="21" spans="1:19" x14ac:dyDescent="0.2">
      <c r="A21" s="24" t="s">
        <v>27</v>
      </c>
      <c r="C21" s="26"/>
      <c r="D21" s="34">
        <v>777836.23150869494</v>
      </c>
      <c r="E21" s="51">
        <v>1761802.09</v>
      </c>
      <c r="F21" s="50">
        <f>+E21-D21</f>
        <v>983965.85849130515</v>
      </c>
      <c r="G21" s="125"/>
      <c r="H21" s="30" t="s">
        <v>30</v>
      </c>
      <c r="I21" s="49">
        <f>+ROUND(42228097.3227499,0)</f>
        <v>42228097</v>
      </c>
      <c r="J21" s="35">
        <f>+ROUND(37122891.5,0)</f>
        <v>37122892</v>
      </c>
      <c r="K21" s="53">
        <f t="shared" si="2"/>
        <v>-5105205</v>
      </c>
      <c r="L21" s="111"/>
      <c r="M21" s="118" t="s">
        <v>90</v>
      </c>
    </row>
    <row r="22" spans="1:19" x14ac:dyDescent="0.2">
      <c r="A22" s="24" t="s">
        <v>29</v>
      </c>
      <c r="C22" s="26"/>
      <c r="D22" s="34">
        <v>754548.02434376918</v>
      </c>
      <c r="E22" s="51">
        <v>665536.66</v>
      </c>
      <c r="F22" s="50">
        <f t="shared" si="0"/>
        <v>-89011.36434376915</v>
      </c>
      <c r="G22" s="125"/>
      <c r="H22" s="30" t="s">
        <v>33</v>
      </c>
      <c r="I22" s="49">
        <f>+ROUND(9165532.00202945,0)</f>
        <v>9165532</v>
      </c>
      <c r="J22" s="35">
        <f>+ROUND(6015895.58,0)-1</f>
        <v>6015895</v>
      </c>
      <c r="K22" s="53">
        <f t="shared" si="2"/>
        <v>-3149637</v>
      </c>
      <c r="L22" s="111"/>
      <c r="M22" s="118" t="s">
        <v>97</v>
      </c>
    </row>
    <row r="23" spans="1:19" x14ac:dyDescent="0.2">
      <c r="A23" s="24" t="s">
        <v>31</v>
      </c>
      <c r="C23" s="26"/>
      <c r="D23" s="34">
        <v>716150.82843279571</v>
      </c>
      <c r="E23" s="51">
        <v>545518.84</v>
      </c>
      <c r="F23" s="50">
        <f t="shared" si="0"/>
        <v>-170631.98843279574</v>
      </c>
      <c r="G23" s="125"/>
      <c r="H23" s="30"/>
      <c r="I23" s="49">
        <f>+ROUND(6204913.73855244,0)</f>
        <v>6204914</v>
      </c>
      <c r="J23" s="35">
        <f>+ROUND(6625674.8,0)</f>
        <v>6625675</v>
      </c>
      <c r="K23" s="53">
        <f t="shared" si="2"/>
        <v>420761</v>
      </c>
    </row>
    <row r="24" spans="1:19" x14ac:dyDescent="0.2">
      <c r="A24" s="24" t="s">
        <v>32</v>
      </c>
      <c r="C24" s="26"/>
      <c r="D24" s="34">
        <v>7071650.9436565768</v>
      </c>
      <c r="E24" s="51">
        <v>2607676.44</v>
      </c>
      <c r="F24" s="50">
        <f>+E24-D24</f>
        <v>-4463974.5036565773</v>
      </c>
      <c r="G24" s="125"/>
      <c r="H24" s="30" t="s">
        <v>41</v>
      </c>
      <c r="I24" s="49">
        <f>+ROUND(32618230.8717112,0)</f>
        <v>32618231</v>
      </c>
      <c r="J24" s="35">
        <f>+ROUND(34580638.96,0)</f>
        <v>34580639</v>
      </c>
      <c r="K24" s="53">
        <f>+J24-I24</f>
        <v>1962408</v>
      </c>
      <c r="L24" s="111"/>
      <c r="M24" s="118" t="s">
        <v>98</v>
      </c>
      <c r="N24" s="111"/>
      <c r="O24" s="111"/>
      <c r="P24" s="111"/>
      <c r="Q24" s="111"/>
      <c r="R24" s="111"/>
      <c r="S24" s="111"/>
    </row>
    <row r="25" spans="1:19" x14ac:dyDescent="0.2">
      <c r="B25" s="6" t="s">
        <v>34</v>
      </c>
      <c r="C25" s="26"/>
      <c r="D25" s="40">
        <f>SUM(D16:D24)</f>
        <v>31388368.07629168</v>
      </c>
      <c r="E25" s="41">
        <v>23714079.02</v>
      </c>
      <c r="F25" s="42">
        <f>+E25-D25</f>
        <v>-7674289.0562916808</v>
      </c>
      <c r="G25" s="26"/>
      <c r="H25" s="30"/>
      <c r="I25" s="43">
        <f>SUM(I16:I24)</f>
        <v>557345949</v>
      </c>
      <c r="J25" s="54">
        <f>SUM(J16:J24)</f>
        <v>542605573</v>
      </c>
      <c r="K25" s="55">
        <f>SUM(J25-I25)</f>
        <v>-14740376</v>
      </c>
      <c r="L25" s="111"/>
    </row>
    <row r="26" spans="1:19" x14ac:dyDescent="0.2">
      <c r="C26" s="7" t="s">
        <v>35</v>
      </c>
      <c r="D26" s="126">
        <f>+D10+D15+D25</f>
        <v>148247240.35629168</v>
      </c>
      <c r="E26" s="127">
        <v>126430062.14</v>
      </c>
      <c r="F26" s="128">
        <f>+E26-D26</f>
        <v>-21817178.216291681</v>
      </c>
      <c r="G26" s="26"/>
      <c r="H26" s="30"/>
      <c r="I26" s="59">
        <f>SUM(I25,I15,I10)</f>
        <v>1747288704</v>
      </c>
      <c r="J26" s="60">
        <f>SUM(J25,J15,J10)</f>
        <v>1721139570</v>
      </c>
      <c r="K26" s="61">
        <f>SUM(J26-I26)</f>
        <v>-26149134</v>
      </c>
      <c r="L26" s="111"/>
      <c r="N26" s="115"/>
      <c r="O26" s="115"/>
      <c r="P26" s="115"/>
      <c r="Q26" s="115"/>
      <c r="R26" s="115"/>
      <c r="S26" s="115"/>
    </row>
    <row r="27" spans="1:19" x14ac:dyDescent="0.2">
      <c r="C27" s="7"/>
      <c r="D27" s="62"/>
      <c r="E27" s="63"/>
      <c r="F27" s="64"/>
      <c r="G27" s="26"/>
      <c r="H27" s="30"/>
      <c r="I27" s="65"/>
      <c r="J27" s="63"/>
      <c r="K27" s="66"/>
      <c r="L27" s="111"/>
    </row>
    <row r="28" spans="1:19" x14ac:dyDescent="0.2">
      <c r="B28" s="25" t="s">
        <v>36</v>
      </c>
      <c r="C28" s="7"/>
      <c r="D28" s="67">
        <v>2624542.8150790785</v>
      </c>
      <c r="E28" s="68">
        <v>2230798.12</v>
      </c>
      <c r="F28" s="69">
        <f>+E28-D28</f>
        <v>-393744.69507907843</v>
      </c>
      <c r="G28" s="26"/>
      <c r="H28" s="30"/>
      <c r="I28" s="49">
        <f>+ROUND(71546704.8884615,0)</f>
        <v>71546705</v>
      </c>
      <c r="J28" s="35">
        <f>+ROUND(70303092.4,0)</f>
        <v>70303092</v>
      </c>
      <c r="K28" s="53">
        <f>+J28-I28</f>
        <v>-1243613</v>
      </c>
      <c r="L28" s="111"/>
    </row>
    <row r="29" spans="1:19" x14ac:dyDescent="0.2">
      <c r="C29" s="7" t="s">
        <v>37</v>
      </c>
      <c r="D29" s="126">
        <f>+D26-D28</f>
        <v>145622697.54121259</v>
      </c>
      <c r="E29" s="127">
        <f>+E26-E28</f>
        <v>124199264.02</v>
      </c>
      <c r="F29" s="128">
        <f>+E29-D29</f>
        <v>-21423433.521212593</v>
      </c>
      <c r="G29" s="26"/>
      <c r="H29" s="30"/>
      <c r="I29" s="59">
        <f>SUM(I26-I28)</f>
        <v>1675741999</v>
      </c>
      <c r="J29" s="60">
        <f>SUM(J26-J28)</f>
        <v>1650836478</v>
      </c>
      <c r="K29" s="70">
        <f>+J29-I29</f>
        <v>-24905521</v>
      </c>
      <c r="L29" s="124"/>
    </row>
    <row r="30" spans="1:19" x14ac:dyDescent="0.2">
      <c r="A30" s="71" t="s">
        <v>38</v>
      </c>
      <c r="C30" s="26"/>
      <c r="D30" s="72"/>
      <c r="E30" s="73"/>
      <c r="F30" s="20"/>
      <c r="G30" s="26"/>
      <c r="H30" s="30"/>
      <c r="I30" s="22"/>
      <c r="J30" s="19"/>
      <c r="K30" s="23"/>
      <c r="L30" s="129"/>
    </row>
    <row r="31" spans="1:19" x14ac:dyDescent="0.2">
      <c r="A31" s="15" t="s">
        <v>39</v>
      </c>
      <c r="B31" s="74"/>
      <c r="C31" s="75"/>
      <c r="D31" s="18"/>
      <c r="E31" s="19"/>
      <c r="F31" s="20"/>
      <c r="G31" s="26"/>
      <c r="H31" s="30"/>
      <c r="I31" s="22"/>
      <c r="J31" s="19"/>
      <c r="K31" s="23"/>
      <c r="L31" s="129"/>
    </row>
    <row r="32" spans="1:19" x14ac:dyDescent="0.2">
      <c r="A32" s="24" t="s">
        <v>40</v>
      </c>
      <c r="C32" s="26"/>
      <c r="D32" s="76">
        <v>105246268.27914099</v>
      </c>
      <c r="E32" s="52">
        <v>112633530.77</v>
      </c>
      <c r="F32" s="77">
        <f>+E32-D32</f>
        <v>7387262.4908590019</v>
      </c>
      <c r="G32" s="125"/>
      <c r="H32" s="30" t="s">
        <v>43</v>
      </c>
      <c r="I32" s="31">
        <f>+ROUND(983282925.860703,0)</f>
        <v>983282926</v>
      </c>
      <c r="J32" s="32">
        <f>+ROUND(1022722044.37,0)</f>
        <v>1022722044</v>
      </c>
      <c r="K32" s="79">
        <f>+J32-I32</f>
        <v>39439118</v>
      </c>
      <c r="M32" s="118" t="s">
        <v>99</v>
      </c>
    </row>
    <row r="33" spans="1:13" x14ac:dyDescent="0.2">
      <c r="A33" s="24" t="s">
        <v>42</v>
      </c>
      <c r="C33" s="26"/>
      <c r="D33" s="80">
        <v>23643141.6138946</v>
      </c>
      <c r="E33" s="52">
        <v>31307344.010000002</v>
      </c>
      <c r="F33" s="50">
        <f>+E33-D33</f>
        <v>7664202.3961054012</v>
      </c>
      <c r="G33" s="125"/>
      <c r="H33" s="81" t="s">
        <v>45</v>
      </c>
      <c r="I33" s="37">
        <f>+ROUND(175346992.969915,0)</f>
        <v>175346993</v>
      </c>
      <c r="J33" s="35">
        <f>+ROUND(195767451.02,0)</f>
        <v>195767451</v>
      </c>
      <c r="K33" s="82">
        <f>+J33-I33</f>
        <v>20420458</v>
      </c>
      <c r="L33" s="111"/>
      <c r="M33" s="118" t="s">
        <v>100</v>
      </c>
    </row>
    <row r="34" spans="1:13" x14ac:dyDescent="0.2">
      <c r="A34" s="24" t="s">
        <v>44</v>
      </c>
      <c r="C34" s="26"/>
      <c r="D34" s="80">
        <v>6081002.3772909204</v>
      </c>
      <c r="E34" s="52">
        <v>7992862.3700000001</v>
      </c>
      <c r="F34" s="50">
        <f>+E34-D34</f>
        <v>1911859.9927090798</v>
      </c>
      <c r="G34" s="125"/>
      <c r="H34" s="81" t="s">
        <v>47</v>
      </c>
      <c r="I34" s="37">
        <f>+ROUND(71681606.2341383,0)</f>
        <v>71681606</v>
      </c>
      <c r="J34" s="35">
        <f>+ROUND(76932214.41,0)</f>
        <v>76932214</v>
      </c>
      <c r="K34" s="82">
        <f>+J34-I34</f>
        <v>5250608</v>
      </c>
      <c r="M34" s="118" t="s">
        <v>101</v>
      </c>
    </row>
    <row r="35" spans="1:13" x14ac:dyDescent="0.2">
      <c r="A35" s="24" t="s">
        <v>46</v>
      </c>
      <c r="C35" s="26"/>
      <c r="D35" s="80">
        <v>6514013.1456419053</v>
      </c>
      <c r="E35" s="52">
        <v>3572337.09</v>
      </c>
      <c r="F35" s="50">
        <f>+E35-D35</f>
        <v>-2941676.0556419054</v>
      </c>
      <c r="G35" s="125"/>
      <c r="H35" s="81"/>
      <c r="I35" s="37">
        <f>+ROUND(35444313.8978923,0)</f>
        <v>35444314</v>
      </c>
      <c r="J35" s="35">
        <f>+ROUND(31955168.14,0)</f>
        <v>31955168</v>
      </c>
      <c r="K35" s="82">
        <f>+J35-I35</f>
        <v>-3489146</v>
      </c>
    </row>
    <row r="36" spans="1:13" x14ac:dyDescent="0.2">
      <c r="A36" s="24" t="s">
        <v>48</v>
      </c>
      <c r="C36" s="26"/>
      <c r="D36" s="80">
        <v>8366973.5758944796</v>
      </c>
      <c r="E36" s="52">
        <v>-809308.45</v>
      </c>
      <c r="F36" s="50">
        <f>+E36-D36</f>
        <v>-9176282.0258944798</v>
      </c>
      <c r="G36" s="125"/>
      <c r="H36" s="81" t="s">
        <v>49</v>
      </c>
      <c r="I36" s="37">
        <f>+ROUND(45278826.3637686,0)</f>
        <v>45278826</v>
      </c>
      <c r="J36" s="35">
        <f>+ROUND(29444656.55,0)</f>
        <v>29444657</v>
      </c>
      <c r="K36" s="82">
        <f>+J36-I36</f>
        <v>-15834169</v>
      </c>
      <c r="M36" s="118" t="s">
        <v>102</v>
      </c>
    </row>
    <row r="37" spans="1:13" x14ac:dyDescent="0.2">
      <c r="B37" s="6" t="s">
        <v>50</v>
      </c>
      <c r="C37" s="26"/>
      <c r="D37" s="40">
        <f>SUM(D32:D36)</f>
        <v>149851398.99186289</v>
      </c>
      <c r="E37" s="41">
        <v>154696764.79000002</v>
      </c>
      <c r="F37" s="42">
        <f>SUM(E37-D37)</f>
        <v>4845365.7981371284</v>
      </c>
      <c r="G37" s="26"/>
      <c r="H37" s="30"/>
      <c r="I37" s="43">
        <f>SUM(I32:I36)</f>
        <v>1311034665</v>
      </c>
      <c r="J37" s="54">
        <f>SUM(J32:J36)</f>
        <v>1356821534</v>
      </c>
      <c r="K37" s="55">
        <f>SUM(J37-I37)</f>
        <v>45786869</v>
      </c>
    </row>
    <row r="38" spans="1:13" x14ac:dyDescent="0.2">
      <c r="A38" s="24" t="s">
        <v>51</v>
      </c>
      <c r="C38" s="26"/>
      <c r="D38" s="83">
        <v>48213.439470266458</v>
      </c>
      <c r="E38" s="84">
        <v>72782.81</v>
      </c>
      <c r="F38" s="85">
        <f t="shared" ref="F38:F45" si="3">+E38-D38</f>
        <v>24569.37052973354</v>
      </c>
      <c r="G38" s="26"/>
      <c r="H38" s="30"/>
      <c r="I38" s="31">
        <f>+ROUND(796790.736119719,0)</f>
        <v>796791</v>
      </c>
      <c r="J38" s="32">
        <f>+ROUND(1521141.23,0)</f>
        <v>1521141</v>
      </c>
      <c r="K38" s="79">
        <f t="shared" ref="K38:K45" si="4">+J38-I38</f>
        <v>724350</v>
      </c>
    </row>
    <row r="39" spans="1:13" x14ac:dyDescent="0.2">
      <c r="A39" s="24" t="s">
        <v>52</v>
      </c>
      <c r="C39" s="26"/>
      <c r="D39" s="18">
        <v>67349.574213013184</v>
      </c>
      <c r="E39" s="19">
        <v>98739.55</v>
      </c>
      <c r="F39" s="36">
        <f t="shared" si="3"/>
        <v>31389.975786986819</v>
      </c>
      <c r="G39" s="26"/>
      <c r="H39" s="30"/>
      <c r="I39" s="37">
        <f>+ROUND(1350519.52054437,0)</f>
        <v>1350520</v>
      </c>
      <c r="J39" s="35">
        <f>+ROUND(814462.97,0)</f>
        <v>814463</v>
      </c>
      <c r="K39" s="82">
        <f t="shared" si="4"/>
        <v>-536057</v>
      </c>
    </row>
    <row r="40" spans="1:13" x14ac:dyDescent="0.2">
      <c r="A40" s="24" t="s">
        <v>53</v>
      </c>
      <c r="C40" s="26"/>
      <c r="D40" s="18">
        <v>209911.35769815758</v>
      </c>
      <c r="E40" s="19">
        <v>522266.53</v>
      </c>
      <c r="F40" s="36">
        <f t="shared" si="3"/>
        <v>312355.17230184248</v>
      </c>
      <c r="G40" s="26"/>
      <c r="H40" s="30"/>
      <c r="I40" s="37">
        <f>+ROUND(3007445.6110351,0)</f>
        <v>3007446</v>
      </c>
      <c r="J40" s="35">
        <f>+ROUND(3754745.15,0)</f>
        <v>3754745</v>
      </c>
      <c r="K40" s="82">
        <f t="shared" si="4"/>
        <v>747299</v>
      </c>
    </row>
    <row r="41" spans="1:13" x14ac:dyDescent="0.2">
      <c r="A41" s="24" t="s">
        <v>54</v>
      </c>
      <c r="C41" s="26"/>
      <c r="D41" s="18">
        <v>6091.2282921242631</v>
      </c>
      <c r="E41" s="19">
        <v>-71419.899999999994</v>
      </c>
      <c r="F41" s="36">
        <f t="shared" si="3"/>
        <v>-77511.128292124253</v>
      </c>
      <c r="G41" s="26"/>
      <c r="H41" s="30"/>
      <c r="I41" s="37">
        <f>+ROUND(395121.587668619,0)</f>
        <v>395122</v>
      </c>
      <c r="J41" s="35">
        <f>+ROUND(489428.64,0)</f>
        <v>489429</v>
      </c>
      <c r="K41" s="82">
        <f t="shared" si="4"/>
        <v>94307</v>
      </c>
    </row>
    <row r="42" spans="1:13" x14ac:dyDescent="0.2">
      <c r="A42" s="24" t="s">
        <v>55</v>
      </c>
      <c r="C42" s="26"/>
      <c r="D42" s="18">
        <v>52575.307319431005</v>
      </c>
      <c r="E42" s="19">
        <v>48904.480000000003</v>
      </c>
      <c r="F42" s="36">
        <f t="shared" si="3"/>
        <v>-3670.8273194310023</v>
      </c>
      <c r="G42" s="26"/>
      <c r="H42" s="30"/>
      <c r="I42" s="37">
        <f>+ROUND(531841.364393291,0)</f>
        <v>531841</v>
      </c>
      <c r="J42" s="35">
        <f>+ROUND(303421.84,0)</f>
        <v>303422</v>
      </c>
      <c r="K42" s="82">
        <f t="shared" si="4"/>
        <v>-228419</v>
      </c>
    </row>
    <row r="43" spans="1:13" hidden="1" x14ac:dyDescent="0.2">
      <c r="A43" s="24" t="s">
        <v>56</v>
      </c>
      <c r="C43" s="26"/>
      <c r="D43" s="87">
        <v>0</v>
      </c>
      <c r="E43" s="35">
        <v>0</v>
      </c>
      <c r="F43" s="36">
        <f t="shared" si="3"/>
        <v>0</v>
      </c>
      <c r="G43" s="130"/>
      <c r="H43" s="30"/>
      <c r="I43" s="37">
        <v>0</v>
      </c>
      <c r="J43" s="35">
        <v>0</v>
      </c>
      <c r="K43" s="82">
        <f t="shared" si="4"/>
        <v>0</v>
      </c>
    </row>
    <row r="44" spans="1:13" x14ac:dyDescent="0.2">
      <c r="A44" s="24" t="s">
        <v>57</v>
      </c>
      <c r="C44" s="26"/>
      <c r="D44" s="18">
        <v>7593.0925142789529</v>
      </c>
      <c r="E44" s="19">
        <v>11554.88</v>
      </c>
      <c r="F44" s="36">
        <f t="shared" si="3"/>
        <v>3961.7874857210463</v>
      </c>
      <c r="G44" s="26"/>
      <c r="H44" s="88"/>
      <c r="I44" s="37">
        <f>+ROUND(242546.078819638,0)</f>
        <v>242546</v>
      </c>
      <c r="J44" s="35">
        <f>+ROUND(153278.74,0)</f>
        <v>153279</v>
      </c>
      <c r="K44" s="82">
        <f t="shared" si="4"/>
        <v>-89267</v>
      </c>
    </row>
    <row r="45" spans="1:13" x14ac:dyDescent="0.2">
      <c r="A45" s="24" t="s">
        <v>58</v>
      </c>
      <c r="C45" s="26"/>
      <c r="D45" s="18">
        <v>0</v>
      </c>
      <c r="E45" s="89">
        <v>2817.9</v>
      </c>
      <c r="F45" s="36">
        <f t="shared" si="3"/>
        <v>2817.9</v>
      </c>
      <c r="G45" s="26"/>
      <c r="H45" s="30"/>
      <c r="I45" s="37">
        <f>+ROUND(14640.4914793066,0)</f>
        <v>14640</v>
      </c>
      <c r="J45" s="35">
        <f>+ROUND(147919.12,0)</f>
        <v>147919</v>
      </c>
      <c r="K45" s="82">
        <f t="shared" si="4"/>
        <v>133279</v>
      </c>
    </row>
    <row r="46" spans="1:13" x14ac:dyDescent="0.2">
      <c r="B46" s="6" t="s">
        <v>59</v>
      </c>
      <c r="C46" s="26"/>
      <c r="D46" s="40">
        <v>391733.99950727145</v>
      </c>
      <c r="E46" s="90">
        <v>685644.25</v>
      </c>
      <c r="F46" s="42">
        <f>SUM(E46-D46)</f>
        <v>293910.25049272855</v>
      </c>
      <c r="G46" s="26"/>
      <c r="H46" s="30"/>
      <c r="I46" s="43">
        <f>SUM(I38:I45)</f>
        <v>6338906</v>
      </c>
      <c r="J46" s="54">
        <f>SUM(J38:J45)</f>
        <v>7184398</v>
      </c>
      <c r="K46" s="55">
        <f t="shared" ref="K46:K60" si="5">SUM(J46-I46)</f>
        <v>845492</v>
      </c>
    </row>
    <row r="47" spans="1:13" x14ac:dyDescent="0.2">
      <c r="C47" s="7" t="s">
        <v>60</v>
      </c>
      <c r="D47" s="91">
        <f>+D37+D46</f>
        <v>150243132.99137017</v>
      </c>
      <c r="E47" s="90">
        <v>155382409.04000002</v>
      </c>
      <c r="F47" s="42">
        <f>SUM(E47-D47)</f>
        <v>5139276.0486298501</v>
      </c>
      <c r="G47" s="26"/>
      <c r="H47" s="30"/>
      <c r="I47" s="43">
        <f>SUM(I46,I37)</f>
        <v>1317373571</v>
      </c>
      <c r="J47" s="54">
        <f>SUM(J46,J37)</f>
        <v>1364005932</v>
      </c>
      <c r="K47" s="55">
        <f t="shared" si="5"/>
        <v>46632361</v>
      </c>
    </row>
    <row r="48" spans="1:13" x14ac:dyDescent="0.2">
      <c r="A48" s="24" t="s">
        <v>61</v>
      </c>
      <c r="C48" s="26"/>
      <c r="D48" s="92">
        <v>0</v>
      </c>
      <c r="E48" s="93">
        <v>14616</v>
      </c>
      <c r="F48" s="77">
        <f>+E48-D48</f>
        <v>14616</v>
      </c>
      <c r="G48" s="26"/>
      <c r="H48" s="30"/>
      <c r="I48" s="31">
        <f>+ROUND(29914.448434774,0)</f>
        <v>29914</v>
      </c>
      <c r="J48" s="32">
        <f>+ROUND(879943.84,0)</f>
        <v>879944</v>
      </c>
      <c r="K48" s="79">
        <f t="shared" si="5"/>
        <v>850030</v>
      </c>
    </row>
    <row r="49" spans="1:15" x14ac:dyDescent="0.2">
      <c r="A49" s="24" t="s">
        <v>62</v>
      </c>
      <c r="C49" s="26"/>
      <c r="D49" s="37">
        <v>23734.340867077481</v>
      </c>
      <c r="E49" s="52">
        <v>15146</v>
      </c>
      <c r="F49" s="50">
        <f>+E49-D49</f>
        <v>-8588.3408670774807</v>
      </c>
      <c r="G49" s="26"/>
      <c r="H49" s="30"/>
      <c r="I49" s="37">
        <f>+ROUND(138162.698445374,0)</f>
        <v>138163</v>
      </c>
      <c r="J49" s="35">
        <f>+ROUND(179201.7,0)</f>
        <v>179202</v>
      </c>
      <c r="K49" s="82">
        <f t="shared" si="5"/>
        <v>41039</v>
      </c>
    </row>
    <row r="50" spans="1:15" x14ac:dyDescent="0.2">
      <c r="A50" s="24" t="s">
        <v>63</v>
      </c>
      <c r="C50" s="26"/>
      <c r="D50" s="37">
        <v>0</v>
      </c>
      <c r="E50" s="52">
        <v>0</v>
      </c>
      <c r="F50" s="50">
        <f>+E50-D50</f>
        <v>0</v>
      </c>
      <c r="G50" s="26"/>
      <c r="H50" s="30"/>
      <c r="I50" s="37">
        <v>0</v>
      </c>
      <c r="J50" s="35">
        <f>+ROUND(3030139.5,0)</f>
        <v>3030140</v>
      </c>
      <c r="K50" s="82">
        <f t="shared" si="5"/>
        <v>3030140</v>
      </c>
      <c r="M50" s="118" t="s">
        <v>103</v>
      </c>
    </row>
    <row r="51" spans="1:15" x14ac:dyDescent="0.2">
      <c r="A51" s="24" t="s">
        <v>64</v>
      </c>
      <c r="C51" s="26"/>
      <c r="D51" s="37">
        <v>6594353.1296447003</v>
      </c>
      <c r="E51" s="52">
        <v>9215451.4300000072</v>
      </c>
      <c r="F51" s="36">
        <f>+E51-D51</f>
        <v>2621098.3003553068</v>
      </c>
      <c r="G51" s="26"/>
      <c r="H51" s="30" t="s">
        <v>65</v>
      </c>
      <c r="I51" s="37">
        <f>+ROUND(43217820.0590054,0)</f>
        <v>43217820</v>
      </c>
      <c r="J51" s="35">
        <f>+ROUND(60322393.98,0)</f>
        <v>60322394</v>
      </c>
      <c r="K51" s="82">
        <f t="shared" si="5"/>
        <v>17104574</v>
      </c>
      <c r="L51" s="111"/>
    </row>
    <row r="52" spans="1:15" x14ac:dyDescent="0.2">
      <c r="A52" s="24" t="s">
        <v>66</v>
      </c>
      <c r="C52" s="26"/>
      <c r="D52" s="37">
        <v>9897.5059488275347</v>
      </c>
      <c r="E52" s="52">
        <v>80485.11</v>
      </c>
      <c r="F52" s="36">
        <f t="shared" ref="F52:F57" si="6">+E52-D52</f>
        <v>70587.604051172471</v>
      </c>
      <c r="G52" s="26"/>
      <c r="H52" s="30"/>
      <c r="I52" s="37">
        <f>+ROUND(57753.2069691938,0)</f>
        <v>57753</v>
      </c>
      <c r="J52" s="35">
        <f>+ROUND(238666.62,0)</f>
        <v>238667</v>
      </c>
      <c r="K52" s="82">
        <f t="shared" si="5"/>
        <v>180914</v>
      </c>
    </row>
    <row r="53" spans="1:15" x14ac:dyDescent="0.2">
      <c r="A53" s="24" t="s">
        <v>67</v>
      </c>
      <c r="C53" s="26"/>
      <c r="D53" s="37">
        <v>451848.7204509307</v>
      </c>
      <c r="E53" s="52">
        <v>827295.63</v>
      </c>
      <c r="F53" s="36">
        <f t="shared" si="6"/>
        <v>375446.9095490693</v>
      </c>
      <c r="G53" s="26"/>
      <c r="H53" s="30" t="s">
        <v>68</v>
      </c>
      <c r="I53" s="37">
        <f>+ROUND(4104736.41295827,0)</f>
        <v>4104736</v>
      </c>
      <c r="J53" s="35">
        <f>+ROUND(7671266.47,0)</f>
        <v>7671266</v>
      </c>
      <c r="K53" s="82">
        <f t="shared" si="5"/>
        <v>3566530</v>
      </c>
      <c r="L53" s="111"/>
    </row>
    <row r="54" spans="1:15" x14ac:dyDescent="0.2">
      <c r="A54" s="24" t="s">
        <v>69</v>
      </c>
      <c r="C54" s="26"/>
      <c r="D54" s="37">
        <v>687893.46923861711</v>
      </c>
      <c r="E54" s="52">
        <v>502269.91</v>
      </c>
      <c r="F54" s="36">
        <f t="shared" si="6"/>
        <v>-185623.55923861713</v>
      </c>
      <c r="G54" s="26"/>
      <c r="H54" s="30"/>
      <c r="I54" s="37">
        <f>+ROUND(6478002.88679286,0)</f>
        <v>6478003</v>
      </c>
      <c r="J54" s="35">
        <f>+ROUND(4958427.19,0)</f>
        <v>4958427</v>
      </c>
      <c r="K54" s="82">
        <f t="shared" si="5"/>
        <v>-1519576</v>
      </c>
      <c r="L54" s="111"/>
    </row>
    <row r="55" spans="1:15" x14ac:dyDescent="0.2">
      <c r="A55" s="24" t="s">
        <v>70</v>
      </c>
      <c r="C55" s="26"/>
      <c r="D55" s="37">
        <v>469942.66987390415</v>
      </c>
      <c r="E55" s="52">
        <v>1742509.01</v>
      </c>
      <c r="F55" s="36">
        <f t="shared" si="6"/>
        <v>1272566.3401260958</v>
      </c>
      <c r="G55" s="26"/>
      <c r="H55" s="30" t="s">
        <v>71</v>
      </c>
      <c r="I55" s="37">
        <f>+ROUND(1407595.55291494,0)</f>
        <v>1407596</v>
      </c>
      <c r="J55" s="35">
        <f>+ROUND(4006648.01,0)</f>
        <v>4006648</v>
      </c>
      <c r="K55" s="82">
        <f t="shared" si="5"/>
        <v>2599052</v>
      </c>
      <c r="L55" s="111"/>
      <c r="M55" s="131"/>
      <c r="N55" s="21"/>
      <c r="O55" s="132"/>
    </row>
    <row r="56" spans="1:15" x14ac:dyDescent="0.2">
      <c r="A56" s="24" t="s">
        <v>72</v>
      </c>
      <c r="C56" s="26"/>
      <c r="D56" s="37">
        <v>219789.35290521244</v>
      </c>
      <c r="E56" s="52">
        <v>1146255.57</v>
      </c>
      <c r="F56" s="36">
        <f t="shared" si="6"/>
        <v>926466.21709478763</v>
      </c>
      <c r="G56" s="26"/>
      <c r="H56" s="30"/>
      <c r="I56" s="37">
        <f>+ROUND(2819648.37837677,0)</f>
        <v>2819648</v>
      </c>
      <c r="J56" s="35">
        <f>+ROUND(2328409.73,0)</f>
        <v>2328410</v>
      </c>
      <c r="K56" s="82">
        <f t="shared" si="5"/>
        <v>-491238</v>
      </c>
      <c r="L56" s="111"/>
      <c r="M56" s="133"/>
      <c r="N56" s="21"/>
      <c r="O56" s="21"/>
    </row>
    <row r="57" spans="1:15" x14ac:dyDescent="0.2">
      <c r="A57" s="24" t="s">
        <v>104</v>
      </c>
      <c r="C57" s="26"/>
      <c r="D57" s="37">
        <v>3675.5109185899996</v>
      </c>
      <c r="E57" s="52">
        <v>-35222</v>
      </c>
      <c r="F57" s="36">
        <f t="shared" si="6"/>
        <v>-38897.51091859</v>
      </c>
      <c r="G57" s="26"/>
      <c r="H57" s="30"/>
      <c r="I57" s="37">
        <f>+ROUND(898494.569638076,0)</f>
        <v>898495</v>
      </c>
      <c r="J57" s="35">
        <f>+ROUND(-106379,0)</f>
        <v>-106379</v>
      </c>
      <c r="K57" s="82">
        <f t="shared" si="5"/>
        <v>-1004874</v>
      </c>
      <c r="L57" s="111"/>
    </row>
    <row r="58" spans="1:15" hidden="1" x14ac:dyDescent="0.2">
      <c r="A58" s="24" t="s">
        <v>74</v>
      </c>
      <c r="C58" s="26"/>
      <c r="D58" s="37">
        <v>0</v>
      </c>
      <c r="E58" s="52">
        <v>0</v>
      </c>
      <c r="F58" s="36">
        <f>+E58-D58</f>
        <v>0</v>
      </c>
      <c r="G58" s="26"/>
      <c r="H58" s="30"/>
      <c r="I58" s="37">
        <v>0</v>
      </c>
      <c r="J58" s="35">
        <v>0</v>
      </c>
      <c r="K58" s="82">
        <f t="shared" si="5"/>
        <v>0</v>
      </c>
      <c r="L58" s="111"/>
    </row>
    <row r="59" spans="1:15" x14ac:dyDescent="0.2">
      <c r="B59" s="6" t="s">
        <v>75</v>
      </c>
      <c r="C59" s="26"/>
      <c r="D59" s="91">
        <f>SUM(D48:D58)</f>
        <v>8461134.6998478603</v>
      </c>
      <c r="E59" s="90">
        <v>13508807.660000008</v>
      </c>
      <c r="F59" s="42">
        <f>SUM(E59-D59)</f>
        <v>5047672.9601521473</v>
      </c>
      <c r="G59" s="26"/>
      <c r="H59" s="30"/>
      <c r="I59" s="43">
        <f>SUM(I48:I58)</f>
        <v>59152128</v>
      </c>
      <c r="J59" s="54">
        <f>SUM(J48:J58)</f>
        <v>83508719</v>
      </c>
      <c r="K59" s="55">
        <f t="shared" si="5"/>
        <v>24356591</v>
      </c>
    </row>
    <row r="60" spans="1:15" x14ac:dyDescent="0.2">
      <c r="C60" s="7" t="s">
        <v>76</v>
      </c>
      <c r="D60" s="134">
        <f>+D47+D59</f>
        <v>158704267.69121802</v>
      </c>
      <c r="E60" s="135">
        <v>168891216.70000002</v>
      </c>
      <c r="F60" s="128">
        <f>SUM(E60-D60)</f>
        <v>10186949.008781999</v>
      </c>
      <c r="G60" s="26"/>
      <c r="H60" s="30"/>
      <c r="I60" s="59">
        <f>SUM(I47+I59)</f>
        <v>1376525699</v>
      </c>
      <c r="J60" s="60">
        <f>SUM(J47+J59)</f>
        <v>1447514651</v>
      </c>
      <c r="K60" s="70">
        <f t="shared" si="5"/>
        <v>70988952</v>
      </c>
    </row>
    <row r="61" spans="1:15" x14ac:dyDescent="0.2">
      <c r="A61" s="71" t="s">
        <v>77</v>
      </c>
      <c r="C61" s="7"/>
      <c r="D61" s="18"/>
      <c r="E61" s="73"/>
      <c r="F61" s="20"/>
      <c r="G61" s="26"/>
      <c r="H61" s="30"/>
      <c r="I61" s="22"/>
      <c r="J61" s="73"/>
      <c r="K61" s="23"/>
    </row>
    <row r="62" spans="1:15" x14ac:dyDescent="0.2">
      <c r="A62" s="24" t="s">
        <v>40</v>
      </c>
      <c r="C62" s="7"/>
      <c r="D62" s="97">
        <f>+E62</f>
        <v>350838.5</v>
      </c>
      <c r="E62" s="28">
        <v>350838.5</v>
      </c>
      <c r="F62" s="29">
        <f>SUM(E62-D62)</f>
        <v>0</v>
      </c>
      <c r="G62" s="26"/>
      <c r="H62" s="30"/>
      <c r="I62" s="31">
        <f>+ROUND(81246639.85,0)</f>
        <v>81246640</v>
      </c>
      <c r="J62" s="32">
        <f>+ROUND(81246639.85,0)</f>
        <v>81246640</v>
      </c>
      <c r="K62" s="79">
        <f t="shared" ref="K62:K68" si="7">SUM(J62-I62)</f>
        <v>0</v>
      </c>
    </row>
    <row r="63" spans="1:15" x14ac:dyDescent="0.2">
      <c r="A63" s="24" t="s">
        <v>42</v>
      </c>
      <c r="C63" s="7"/>
      <c r="D63" s="87">
        <f>+E63</f>
        <v>3261079.13</v>
      </c>
      <c r="E63" s="35">
        <v>3261079.13</v>
      </c>
      <c r="F63" s="36">
        <f t="shared" ref="F63:F71" si="8">SUM(E63-D63)</f>
        <v>0</v>
      </c>
      <c r="G63" s="26"/>
      <c r="H63" s="30"/>
      <c r="I63" s="37">
        <f>+ROUND(20137950.65,0)</f>
        <v>20137951</v>
      </c>
      <c r="J63" s="35">
        <f>+ROUND(20137950.65,0)</f>
        <v>20137951</v>
      </c>
      <c r="K63" s="82">
        <f t="shared" si="7"/>
        <v>0</v>
      </c>
      <c r="L63" s="111"/>
    </row>
    <row r="64" spans="1:15" x14ac:dyDescent="0.2">
      <c r="A64" s="24" t="s">
        <v>78</v>
      </c>
      <c r="C64" s="7"/>
      <c r="D64" s="87">
        <f>+E64</f>
        <v>1145515.18</v>
      </c>
      <c r="E64" s="35">
        <v>1145515.18</v>
      </c>
      <c r="F64" s="36">
        <f t="shared" si="8"/>
        <v>0</v>
      </c>
      <c r="G64" s="26"/>
      <c r="H64" s="30"/>
      <c r="I64" s="37">
        <f>+ROUND(10708391.84,0)</f>
        <v>10708392</v>
      </c>
      <c r="J64" s="35">
        <f>+ROUND(10708391.84,0)</f>
        <v>10708392</v>
      </c>
      <c r="K64" s="82">
        <f t="shared" si="7"/>
        <v>0</v>
      </c>
    </row>
    <row r="65" spans="1:12" x14ac:dyDescent="0.2">
      <c r="A65" s="24" t="s">
        <v>46</v>
      </c>
      <c r="C65" s="7"/>
      <c r="D65" s="87">
        <f>+E65</f>
        <v>1031987.9</v>
      </c>
      <c r="E65" s="35">
        <v>1031987.9</v>
      </c>
      <c r="F65" s="36">
        <f t="shared" si="8"/>
        <v>0</v>
      </c>
      <c r="G65" s="26"/>
      <c r="H65" s="30"/>
      <c r="I65" s="37">
        <f>+ROUND(4793003.92,0)</f>
        <v>4793004</v>
      </c>
      <c r="J65" s="35">
        <f>+ROUND(4793003.92,0)</f>
        <v>4793004</v>
      </c>
      <c r="K65" s="82">
        <f t="shared" si="7"/>
        <v>0</v>
      </c>
    </row>
    <row r="66" spans="1:12" hidden="1" x14ac:dyDescent="0.2">
      <c r="A66" s="24" t="s">
        <v>79</v>
      </c>
      <c r="C66" s="7"/>
      <c r="D66" s="87">
        <v>0</v>
      </c>
      <c r="E66" s="35">
        <v>0</v>
      </c>
      <c r="F66" s="36">
        <f t="shared" si="8"/>
        <v>0</v>
      </c>
      <c r="G66" s="26"/>
      <c r="H66" s="30"/>
      <c r="I66" s="37">
        <v>0</v>
      </c>
      <c r="J66" s="35">
        <v>0</v>
      </c>
      <c r="K66" s="82">
        <f t="shared" si="7"/>
        <v>0</v>
      </c>
    </row>
    <row r="67" spans="1:12" x14ac:dyDescent="0.2">
      <c r="A67" s="24" t="s">
        <v>48</v>
      </c>
      <c r="C67" s="7"/>
      <c r="D67" s="87">
        <f>+E67</f>
        <v>2160875.84</v>
      </c>
      <c r="E67" s="35">
        <v>2160875.84</v>
      </c>
      <c r="F67" s="36">
        <f t="shared" si="8"/>
        <v>0</v>
      </c>
      <c r="G67" s="26"/>
      <c r="H67" s="30"/>
      <c r="I67" s="37">
        <f>+ROUND(10685595.01,0)</f>
        <v>10685595</v>
      </c>
      <c r="J67" s="35">
        <f>+ROUND(10685595.01,0)</f>
        <v>10685595</v>
      </c>
      <c r="K67" s="82">
        <f t="shared" si="7"/>
        <v>0</v>
      </c>
    </row>
    <row r="68" spans="1:12" x14ac:dyDescent="0.2">
      <c r="B68" s="6" t="s">
        <v>80</v>
      </c>
      <c r="C68" s="7"/>
      <c r="D68" s="98">
        <f>+E68</f>
        <v>7950296.5499999998</v>
      </c>
      <c r="E68" s="99">
        <v>7950296.5499999998</v>
      </c>
      <c r="F68" s="100">
        <f t="shared" si="8"/>
        <v>0</v>
      </c>
      <c r="G68" s="26"/>
      <c r="H68" s="30"/>
      <c r="I68" s="43">
        <f>SUM(I62:I67)</f>
        <v>127571582</v>
      </c>
      <c r="J68" s="54">
        <f>SUM(J62:J67)</f>
        <v>127571582</v>
      </c>
      <c r="K68" s="55">
        <f t="shared" si="7"/>
        <v>0</v>
      </c>
    </row>
    <row r="69" spans="1:12" x14ac:dyDescent="0.2">
      <c r="A69" s="24" t="s">
        <v>64</v>
      </c>
      <c r="B69" s="6"/>
      <c r="C69" s="7"/>
      <c r="D69" s="97">
        <f>+E69</f>
        <v>1081279.8399999999</v>
      </c>
      <c r="E69" s="28">
        <v>1081279.8399999999</v>
      </c>
      <c r="F69" s="29">
        <f t="shared" si="8"/>
        <v>0</v>
      </c>
      <c r="G69" s="26"/>
      <c r="H69" s="30"/>
      <c r="I69" s="31">
        <f>+ROUND(47647408.22,0)</f>
        <v>47647408</v>
      </c>
      <c r="J69" s="32">
        <f>+ROUND(47647408.22,0)</f>
        <v>47647408</v>
      </c>
      <c r="K69" s="79">
        <f>-SUM(J69-I69)</f>
        <v>0</v>
      </c>
    </row>
    <row r="70" spans="1:12" x14ac:dyDescent="0.2">
      <c r="A70" s="24" t="s">
        <v>81</v>
      </c>
      <c r="C70" s="7"/>
      <c r="D70" s="87">
        <f>+E70</f>
        <v>2289498.17</v>
      </c>
      <c r="E70" s="35">
        <v>2289498.17</v>
      </c>
      <c r="F70" s="36">
        <f t="shared" si="8"/>
        <v>0</v>
      </c>
      <c r="G70" s="26"/>
      <c r="H70" s="30"/>
      <c r="I70" s="37">
        <f>+ROUND(39913747.14,0)</f>
        <v>39913747</v>
      </c>
      <c r="J70" s="35">
        <f>+ROUND(39913747.14,0)</f>
        <v>39913747</v>
      </c>
      <c r="K70" s="82">
        <f>SUM(J70-I70)</f>
        <v>0</v>
      </c>
      <c r="L70" s="111"/>
    </row>
    <row r="71" spans="1:12" x14ac:dyDescent="0.2">
      <c r="A71" s="24" t="s">
        <v>82</v>
      </c>
      <c r="C71" s="7"/>
      <c r="D71" s="87">
        <v>0</v>
      </c>
      <c r="E71" s="35">
        <v>0</v>
      </c>
      <c r="F71" s="36">
        <f t="shared" si="8"/>
        <v>0</v>
      </c>
      <c r="G71" s="26"/>
      <c r="H71" s="30"/>
      <c r="I71" s="37">
        <f>+ROUND(385911,0)</f>
        <v>385911</v>
      </c>
      <c r="J71" s="35">
        <f>+ROUND(385911,0)</f>
        <v>385911</v>
      </c>
      <c r="K71" s="82">
        <f>SUM(J71-I71)</f>
        <v>0</v>
      </c>
    </row>
    <row r="72" spans="1:12" x14ac:dyDescent="0.2">
      <c r="B72" s="6" t="s">
        <v>83</v>
      </c>
      <c r="C72" s="26"/>
      <c r="D72" s="98">
        <f>+E72</f>
        <v>3370779.01</v>
      </c>
      <c r="E72" s="99">
        <v>3370779.01</v>
      </c>
      <c r="F72" s="100">
        <f>SUM(F69:F71)</f>
        <v>0</v>
      </c>
      <c r="G72" s="26"/>
      <c r="H72" s="30"/>
      <c r="I72" s="43">
        <f>SUM(I69:I71)</f>
        <v>87947066</v>
      </c>
      <c r="J72" s="54">
        <f>SUM(J69:J71)</f>
        <v>87947066</v>
      </c>
      <c r="K72" s="55">
        <f>SUM(K69:K71)</f>
        <v>0</v>
      </c>
    </row>
    <row r="73" spans="1:12" x14ac:dyDescent="0.2">
      <c r="B73" s="6"/>
      <c r="C73" s="7" t="s">
        <v>84</v>
      </c>
      <c r="D73" s="126">
        <f>+D68+D72-1</f>
        <v>11321074.559999999</v>
      </c>
      <c r="E73" s="127">
        <v>11321074.559999999</v>
      </c>
      <c r="F73" s="128">
        <f>SUM(E73-D73)</f>
        <v>0</v>
      </c>
      <c r="G73" s="26"/>
      <c r="H73" s="30"/>
      <c r="I73" s="59">
        <f>+I68+I72</f>
        <v>215518648</v>
      </c>
      <c r="J73" s="60">
        <f>+J68+J72</f>
        <v>215518648</v>
      </c>
      <c r="K73" s="70">
        <f>SUM(J73-I73)</f>
        <v>0</v>
      </c>
    </row>
    <row r="74" spans="1:12" x14ac:dyDescent="0.2">
      <c r="C74" s="26"/>
      <c r="D74" s="18"/>
      <c r="E74" s="19"/>
      <c r="F74" s="20"/>
      <c r="G74" s="26"/>
      <c r="H74" s="30"/>
      <c r="I74" s="22"/>
      <c r="J74" s="19"/>
      <c r="K74" s="23"/>
    </row>
    <row r="75" spans="1:12" x14ac:dyDescent="0.2">
      <c r="C75" s="7" t="s">
        <v>85</v>
      </c>
      <c r="D75" s="136">
        <f>+D60+D73</f>
        <v>170025342.25121802</v>
      </c>
      <c r="E75" s="127">
        <v>180212291.26000002</v>
      </c>
      <c r="F75" s="128">
        <f>SUM(F60+F73)</f>
        <v>10186949.008781999</v>
      </c>
      <c r="G75" s="26"/>
      <c r="H75" s="30"/>
      <c r="I75" s="59">
        <f>SUM(I60+I73)</f>
        <v>1592044347</v>
      </c>
      <c r="J75" s="60">
        <f>SUM(J60+J73)</f>
        <v>1663033299</v>
      </c>
      <c r="K75" s="70">
        <f>SUM(K60+K73)</f>
        <v>70988952</v>
      </c>
    </row>
    <row r="76" spans="1:12" ht="13.5" thickBot="1" x14ac:dyDescent="0.25">
      <c r="A76" s="103" t="s">
        <v>105</v>
      </c>
      <c r="B76" s="104"/>
      <c r="C76" s="105"/>
      <c r="D76" s="106"/>
      <c r="E76" s="107">
        <v>-56013027.240000024</v>
      </c>
      <c r="F76" s="108"/>
      <c r="G76" s="3"/>
      <c r="H76" s="106"/>
      <c r="I76" s="109"/>
      <c r="J76" s="137">
        <f>J29-J75</f>
        <v>-12196821</v>
      </c>
      <c r="K76" s="107"/>
    </row>
    <row r="77" spans="1:12" x14ac:dyDescent="0.2">
      <c r="A77" s="138"/>
      <c r="B77"/>
      <c r="C77"/>
    </row>
    <row r="78" spans="1:12" hidden="1" x14ac:dyDescent="0.2">
      <c r="A78" s="138"/>
      <c r="B78" s="138"/>
      <c r="C78" s="138"/>
      <c r="E78" s="139">
        <v>-56013027.240000024</v>
      </c>
      <c r="I78" s="140"/>
      <c r="J78" s="141">
        <v>-12196820.589999914</v>
      </c>
    </row>
    <row r="79" spans="1:12" hidden="1" x14ac:dyDescent="0.2">
      <c r="A79"/>
      <c r="B79" s="138">
        <v>1</v>
      </c>
      <c r="C79" s="112" t="s">
        <v>106</v>
      </c>
      <c r="E79" s="142">
        <f>+E76-E78</f>
        <v>0</v>
      </c>
      <c r="F79" s="143"/>
      <c r="G79" s="111"/>
      <c r="H79" s="111"/>
      <c r="I79" s="111"/>
      <c r="J79" s="144">
        <f>+J76-J78</f>
        <v>-0.41000008583068848</v>
      </c>
    </row>
    <row r="80" spans="1:12" hidden="1" x14ac:dyDescent="0.2">
      <c r="B80" s="6">
        <v>2</v>
      </c>
      <c r="C80" s="25" t="s">
        <v>107</v>
      </c>
      <c r="I80" s="111"/>
    </row>
    <row r="81" spans="2:9" hidden="1" x14ac:dyDescent="0.2">
      <c r="B81" s="6">
        <v>3</v>
      </c>
      <c r="C81" s="25" t="s">
        <v>108</v>
      </c>
      <c r="I81" s="111"/>
    </row>
    <row r="82" spans="2:9" hidden="1" x14ac:dyDescent="0.2">
      <c r="B82" s="113">
        <v>4</v>
      </c>
      <c r="C82" s="114" t="s">
        <v>109</v>
      </c>
    </row>
    <row r="83" spans="2:9" hidden="1" x14ac:dyDescent="0.2">
      <c r="B83" s="113">
        <v>5</v>
      </c>
      <c r="C83" s="114" t="s">
        <v>110</v>
      </c>
      <c r="I83" s="115"/>
    </row>
    <row r="84" spans="2:9" hidden="1" x14ac:dyDescent="0.2">
      <c r="B84" s="6"/>
    </row>
    <row r="85" spans="2:9" hidden="1" x14ac:dyDescent="0.2"/>
    <row r="86" spans="2:9" hidden="1" x14ac:dyDescent="0.2">
      <c r="D86" s="116"/>
    </row>
    <row r="87" spans="2:9" hidden="1" x14ac:dyDescent="0.2">
      <c r="D87" s="117"/>
    </row>
  </sheetData>
  <mergeCells count="5">
    <mergeCell ref="A1:K1"/>
    <mergeCell ref="A2:K2"/>
    <mergeCell ref="A3:K3"/>
    <mergeCell ref="D4:F4"/>
    <mergeCell ref="I4:K4"/>
  </mergeCells>
  <pageMargins left="0.74803149606299213" right="0.74803149606299213" top="0.70866141732283472" bottom="0.74803149606299213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zoomScale="120" zoomScaleNormal="120" workbookViewId="0">
      <pane xSplit="3" ySplit="5" topLeftCell="D30" activePane="bottomRight" state="frozen"/>
      <selection activeCell="G29" sqref="G29"/>
      <selection pane="topRight" activeCell="G29" sqref="G29"/>
      <selection pane="bottomLeft" activeCell="G29" sqref="G29"/>
      <selection pane="bottomRight" activeCell="J41" sqref="J41"/>
    </sheetView>
  </sheetViews>
  <sheetFormatPr baseColWidth="10" defaultColWidth="11.42578125" defaultRowHeight="12.75" x14ac:dyDescent="0.2"/>
  <cols>
    <col min="1" max="1" width="1.7109375" style="24" customWidth="1"/>
    <col min="2" max="2" width="2" style="25" customWidth="1"/>
    <col min="3" max="3" width="32.140625" style="25" customWidth="1"/>
    <col min="4" max="4" width="15.42578125" style="25" hidden="1" customWidth="1"/>
    <col min="5" max="5" width="14.85546875" style="25" hidden="1" customWidth="1"/>
    <col min="6" max="6" width="14.28515625" style="25" hidden="1" customWidth="1"/>
    <col min="7" max="7" width="4.140625" hidden="1" customWidth="1"/>
    <col min="8" max="9" width="15.5703125" customWidth="1"/>
    <col min="10" max="10" width="15.5703125" style="112" customWidth="1"/>
    <col min="11" max="11" width="11.42578125" customWidth="1"/>
  </cols>
  <sheetData>
    <row r="1" spans="1:10" ht="18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0" ht="15.75" x14ac:dyDescent="0.25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9"/>
    </row>
    <row r="3" spans="1:10" ht="16.5" thickBot="1" x14ac:dyDescent="0.3">
      <c r="A3" s="200" t="s">
        <v>2</v>
      </c>
      <c r="B3" s="201"/>
      <c r="C3" s="201"/>
      <c r="D3" s="201"/>
      <c r="E3" s="201"/>
      <c r="F3" s="201"/>
      <c r="G3" s="201"/>
      <c r="H3" s="201"/>
      <c r="I3" s="201"/>
      <c r="J3" s="202"/>
    </row>
    <row r="4" spans="1:10" ht="13.5" thickBot="1" x14ac:dyDescent="0.25">
      <c r="A4" s="1"/>
      <c r="B4" s="2"/>
      <c r="C4" s="3"/>
      <c r="D4" s="206" t="s">
        <v>3</v>
      </c>
      <c r="E4" s="207"/>
      <c r="F4" s="208"/>
      <c r="G4" s="4"/>
      <c r="H4" s="203" t="s">
        <v>4</v>
      </c>
      <c r="I4" s="204"/>
      <c r="J4" s="205"/>
    </row>
    <row r="5" spans="1:10" x14ac:dyDescent="0.2">
      <c r="A5" s="5"/>
      <c r="B5" s="6"/>
      <c r="C5" s="7"/>
      <c r="D5" s="8" t="s">
        <v>5</v>
      </c>
      <c r="E5" s="9" t="s">
        <v>6</v>
      </c>
      <c r="F5" s="10" t="s">
        <v>7</v>
      </c>
      <c r="G5" s="11"/>
      <c r="H5" s="12" t="s">
        <v>5</v>
      </c>
      <c r="I5" s="13" t="s">
        <v>6</v>
      </c>
      <c r="J5" s="14" t="s">
        <v>7</v>
      </c>
    </row>
    <row r="6" spans="1:10" x14ac:dyDescent="0.2">
      <c r="A6" s="15" t="s">
        <v>8</v>
      </c>
      <c r="B6" s="16"/>
      <c r="C6" s="17"/>
      <c r="D6" s="18"/>
      <c r="E6" s="19"/>
      <c r="F6" s="20"/>
      <c r="G6" s="21"/>
      <c r="H6" s="22"/>
      <c r="I6" s="19"/>
      <c r="J6" s="23"/>
    </row>
    <row r="7" spans="1:10" x14ac:dyDescent="0.2">
      <c r="A7" s="24" t="s">
        <v>9</v>
      </c>
      <c r="C7" s="26"/>
      <c r="D7" s="27">
        <v>86983170.75</v>
      </c>
      <c r="E7" s="28">
        <v>92829600</v>
      </c>
      <c r="F7" s="29">
        <f t="shared" ref="F7:F23" si="0">+E7-D7</f>
        <v>5846429.25</v>
      </c>
      <c r="G7" s="30" t="s">
        <v>10</v>
      </c>
      <c r="H7" s="31">
        <v>628955234.63999999</v>
      </c>
      <c r="I7" s="32">
        <v>649803200</v>
      </c>
      <c r="J7" s="33">
        <f>+I7-H7</f>
        <v>20847965.360000014</v>
      </c>
    </row>
    <row r="8" spans="1:10" x14ac:dyDescent="0.2">
      <c r="A8" s="24" t="s">
        <v>11</v>
      </c>
      <c r="C8" s="26"/>
      <c r="D8" s="34"/>
      <c r="E8" s="35">
        <v>92829600</v>
      </c>
      <c r="F8" s="36">
        <f t="shared" si="0"/>
        <v>92829600</v>
      </c>
      <c r="G8" s="30" t="s">
        <v>10</v>
      </c>
      <c r="H8" s="37">
        <v>136038405</v>
      </c>
      <c r="I8" s="38">
        <v>100464365</v>
      </c>
      <c r="J8" s="39">
        <f>+I8-H8</f>
        <v>-35574040</v>
      </c>
    </row>
    <row r="9" spans="1:10" x14ac:dyDescent="0.2">
      <c r="A9" s="24" t="s">
        <v>12</v>
      </c>
      <c r="C9" s="26"/>
      <c r="D9" s="34">
        <v>59658283.689999998</v>
      </c>
      <c r="E9" s="35">
        <v>63480580</v>
      </c>
      <c r="F9" s="36">
        <f t="shared" si="0"/>
        <v>3822296.3100000024</v>
      </c>
      <c r="G9" s="30" t="s">
        <v>10</v>
      </c>
      <c r="H9" s="37">
        <v>431375282.0800001</v>
      </c>
      <c r="I9" s="38">
        <v>444361324</v>
      </c>
      <c r="J9" s="39">
        <f>+I9-H9</f>
        <v>12986041.919999897</v>
      </c>
    </row>
    <row r="10" spans="1:10" x14ac:dyDescent="0.2">
      <c r="B10" s="6" t="s">
        <v>13</v>
      </c>
      <c r="C10" s="26"/>
      <c r="D10" s="40">
        <v>146641454.44</v>
      </c>
      <c r="E10" s="41">
        <v>156310180</v>
      </c>
      <c r="F10" s="42">
        <f t="shared" si="0"/>
        <v>9668725.5600000024</v>
      </c>
      <c r="G10" s="30"/>
      <c r="H10" s="43">
        <f>SUM(H7:H9)</f>
        <v>1196368921.72</v>
      </c>
      <c r="I10" s="44">
        <f>SUM(I7:I9)</f>
        <v>1194628889</v>
      </c>
      <c r="J10" s="45">
        <f t="shared" ref="J10:J15" si="1">SUM(I10-H10)</f>
        <v>-1740032.7200000286</v>
      </c>
    </row>
    <row r="11" spans="1:10" x14ac:dyDescent="0.2">
      <c r="A11" s="24" t="s">
        <v>14</v>
      </c>
      <c r="C11" s="26"/>
      <c r="D11" s="46">
        <f>+E11</f>
        <v>3290749</v>
      </c>
      <c r="E11" s="28">
        <v>3290749</v>
      </c>
      <c r="F11" s="36">
        <f t="shared" si="0"/>
        <v>0</v>
      </c>
      <c r="G11" s="30"/>
      <c r="H11" s="47">
        <f>+I11</f>
        <v>35244788</v>
      </c>
      <c r="I11" s="48">
        <f>35244787+1</f>
        <v>35244788</v>
      </c>
      <c r="J11" s="39">
        <f t="shared" si="1"/>
        <v>0</v>
      </c>
    </row>
    <row r="12" spans="1:10" x14ac:dyDescent="0.2">
      <c r="A12" s="24" t="s">
        <v>15</v>
      </c>
      <c r="C12" s="26"/>
      <c r="D12" s="34">
        <f>+E12</f>
        <v>744242.28</v>
      </c>
      <c r="E12" s="19">
        <v>744242.28</v>
      </c>
      <c r="F12" s="36">
        <f t="shared" si="0"/>
        <v>0</v>
      </c>
      <c r="G12" s="30"/>
      <c r="H12" s="49">
        <f>+I12</f>
        <v>12661143.779999999</v>
      </c>
      <c r="I12" s="38">
        <f>12661142.78+1</f>
        <v>12661143.779999999</v>
      </c>
      <c r="J12" s="39">
        <f t="shared" si="1"/>
        <v>0</v>
      </c>
    </row>
    <row r="13" spans="1:10" x14ac:dyDescent="0.2">
      <c r="A13" s="24" t="s">
        <v>16</v>
      </c>
      <c r="C13" s="26"/>
      <c r="D13" s="34">
        <f>+E13</f>
        <v>11905351.439999999</v>
      </c>
      <c r="E13" s="35">
        <v>11905351.439999999</v>
      </c>
      <c r="F13" s="36">
        <f t="shared" si="0"/>
        <v>0</v>
      </c>
      <c r="G13" s="30"/>
      <c r="H13" s="49">
        <f>+I13</f>
        <v>54753788.090000004</v>
      </c>
      <c r="I13" s="38">
        <f>54753787.09+1</f>
        <v>54753788.090000004</v>
      </c>
      <c r="J13" s="39">
        <f t="shared" si="1"/>
        <v>0</v>
      </c>
    </row>
    <row r="14" spans="1:10" x14ac:dyDescent="0.2">
      <c r="A14" s="24" t="s">
        <v>17</v>
      </c>
      <c r="C14" s="26"/>
      <c r="D14" s="34">
        <f>+E14</f>
        <v>3557778.65</v>
      </c>
      <c r="E14" s="19">
        <v>3557778.65</v>
      </c>
      <c r="F14" s="36">
        <f t="shared" si="0"/>
        <v>0</v>
      </c>
      <c r="G14" s="30"/>
      <c r="H14" s="49">
        <f>+I14</f>
        <v>57053693.450000003</v>
      </c>
      <c r="I14" s="38">
        <f>57053691.45+2</f>
        <v>57053693.450000003</v>
      </c>
      <c r="J14" s="39">
        <f t="shared" si="1"/>
        <v>0</v>
      </c>
    </row>
    <row r="15" spans="1:10" x14ac:dyDescent="0.2">
      <c r="B15" s="6" t="s">
        <v>18</v>
      </c>
      <c r="C15" s="26"/>
      <c r="D15" s="40">
        <f>+E15</f>
        <v>19498121.369999997</v>
      </c>
      <c r="E15" s="41">
        <v>19498121.369999997</v>
      </c>
      <c r="F15" s="42">
        <f t="shared" si="0"/>
        <v>0</v>
      </c>
      <c r="G15" s="30"/>
      <c r="H15" s="43">
        <f>SUM(H11:H14)</f>
        <v>159713413.31999999</v>
      </c>
      <c r="I15" s="44">
        <f>SUM(I11:I14)</f>
        <v>159713413.31999999</v>
      </c>
      <c r="J15" s="45">
        <f t="shared" si="1"/>
        <v>0</v>
      </c>
    </row>
    <row r="16" spans="1:10" x14ac:dyDescent="0.2">
      <c r="A16" s="24" t="s">
        <v>19</v>
      </c>
      <c r="C16" s="26"/>
      <c r="D16" s="46">
        <v>3145863.512718163</v>
      </c>
      <c r="E16" s="32">
        <v>2380571</v>
      </c>
      <c r="F16" s="50">
        <f t="shared" si="0"/>
        <v>-765292.51271816297</v>
      </c>
      <c r="G16" s="30" t="s">
        <v>20</v>
      </c>
      <c r="H16" s="47">
        <v>101804968.40195426</v>
      </c>
      <c r="I16" s="48">
        <v>89240262.769999996</v>
      </c>
      <c r="J16" s="39">
        <f>+I16-H16+1</f>
        <v>-12564704.631954268</v>
      </c>
    </row>
    <row r="17" spans="1:10" x14ac:dyDescent="0.2">
      <c r="A17" s="24" t="s">
        <v>21</v>
      </c>
      <c r="C17" s="26"/>
      <c r="D17" s="34">
        <v>1327395.4349941304</v>
      </c>
      <c r="E17" s="51">
        <v>1410162.56</v>
      </c>
      <c r="F17" s="50">
        <f t="shared" si="0"/>
        <v>82767.125005869661</v>
      </c>
      <c r="G17" s="30" t="s">
        <v>22</v>
      </c>
      <c r="H17" s="49">
        <v>255374219.85886979</v>
      </c>
      <c r="I17" s="38">
        <v>259827558.03999999</v>
      </c>
      <c r="J17" s="39">
        <f>+I17-H17</f>
        <v>4453338.1811302006</v>
      </c>
    </row>
    <row r="18" spans="1:10" x14ac:dyDescent="0.2">
      <c r="A18" s="24" t="s">
        <v>23</v>
      </c>
      <c r="C18" s="26"/>
      <c r="D18" s="34">
        <v>5799709.7861724244</v>
      </c>
      <c r="E18" s="51">
        <v>5134557.99</v>
      </c>
      <c r="F18" s="50">
        <f t="shared" si="0"/>
        <v>-665151.79617242422</v>
      </c>
      <c r="G18" s="30"/>
      <c r="H18" s="49">
        <v>106199146.60414943</v>
      </c>
      <c r="I18" s="38">
        <v>107788639.42999999</v>
      </c>
      <c r="J18" s="39">
        <f>+I18-H18-1</f>
        <v>1589491.8258505613</v>
      </c>
    </row>
    <row r="19" spans="1:10" x14ac:dyDescent="0.2">
      <c r="A19" s="24" t="s">
        <v>24</v>
      </c>
      <c r="C19" s="26"/>
      <c r="D19" s="34">
        <v>1059213.6896835614</v>
      </c>
      <c r="E19" s="51">
        <v>364287</v>
      </c>
      <c r="F19" s="50">
        <f t="shared" si="0"/>
        <v>-694926.68968356145</v>
      </c>
      <c r="G19" s="30" t="s">
        <v>25</v>
      </c>
      <c r="H19" s="49">
        <v>9161582.1370796245</v>
      </c>
      <c r="I19" s="38">
        <v>4983419</v>
      </c>
      <c r="J19" s="39">
        <f t="shared" ref="J19:J23" si="2">+I19-H19</f>
        <v>-4178163.1370796245</v>
      </c>
    </row>
    <row r="20" spans="1:10" x14ac:dyDescent="0.2">
      <c r="A20" s="24" t="s">
        <v>26</v>
      </c>
      <c r="C20" s="26"/>
      <c r="D20" s="34">
        <v>246501.2238763608</v>
      </c>
      <c r="E20" s="51">
        <v>196588</v>
      </c>
      <c r="F20" s="50">
        <f t="shared" si="0"/>
        <v>-49913.223876360804</v>
      </c>
      <c r="G20" s="30"/>
      <c r="H20" s="49">
        <v>6167942.2491723616</v>
      </c>
      <c r="I20" s="52">
        <v>5906760.1799999997</v>
      </c>
      <c r="J20" s="53">
        <f t="shared" si="2"/>
        <v>-261182.06917236187</v>
      </c>
    </row>
    <row r="21" spans="1:10" x14ac:dyDescent="0.2">
      <c r="A21" s="24" t="s">
        <v>27</v>
      </c>
      <c r="C21" s="26"/>
      <c r="D21" s="34">
        <v>1783276.3655108421</v>
      </c>
      <c r="E21" s="51">
        <v>926824.31</v>
      </c>
      <c r="F21" s="50">
        <f>+E21-D21</f>
        <v>-856452.05551084201</v>
      </c>
      <c r="G21" s="30" t="s">
        <v>28</v>
      </c>
      <c r="H21" s="49">
        <v>44011373.688260734</v>
      </c>
      <c r="I21" s="52">
        <v>38049715.810000002</v>
      </c>
      <c r="J21" s="53">
        <f t="shared" si="2"/>
        <v>-5961657.8782607317</v>
      </c>
    </row>
    <row r="22" spans="1:10" x14ac:dyDescent="0.2">
      <c r="A22" s="24" t="s">
        <v>29</v>
      </c>
      <c r="C22" s="26"/>
      <c r="D22" s="34">
        <v>537007.50676947064</v>
      </c>
      <c r="E22" s="51">
        <v>473309</v>
      </c>
      <c r="F22" s="50">
        <f t="shared" si="0"/>
        <v>-63698.506769470638</v>
      </c>
      <c r="G22" s="30" t="s">
        <v>30</v>
      </c>
      <c r="H22" s="49">
        <v>9702539.5087989159</v>
      </c>
      <c r="I22" s="52">
        <v>6489203.5800000001</v>
      </c>
      <c r="J22" s="53">
        <f t="shared" si="2"/>
        <v>-3213335.9287989158</v>
      </c>
    </row>
    <row r="23" spans="1:10" x14ac:dyDescent="0.2">
      <c r="A23" s="24" t="s">
        <v>31</v>
      </c>
      <c r="C23" s="26"/>
      <c r="D23" s="34">
        <v>1122500.20123138</v>
      </c>
      <c r="E23" s="51">
        <v>1600215.05</v>
      </c>
      <c r="F23" s="50">
        <f t="shared" si="0"/>
        <v>477714.84876862005</v>
      </c>
      <c r="G23" s="30"/>
      <c r="H23" s="49">
        <v>7327413.9397838218</v>
      </c>
      <c r="I23" s="52">
        <v>8225889.8499999996</v>
      </c>
      <c r="J23" s="53">
        <f t="shared" si="2"/>
        <v>898475.91021617781</v>
      </c>
    </row>
    <row r="24" spans="1:10" x14ac:dyDescent="0.2">
      <c r="A24" s="24" t="s">
        <v>32</v>
      </c>
      <c r="C24" s="26"/>
      <c r="D24" s="34">
        <v>4500155.4314464098</v>
      </c>
      <c r="E24" s="51">
        <v>10226319.289999999</v>
      </c>
      <c r="F24" s="50">
        <f>+E24-D24</f>
        <v>5726163.8585535893</v>
      </c>
      <c r="G24" s="30" t="s">
        <v>33</v>
      </c>
      <c r="H24" s="49">
        <v>37118386.303157657</v>
      </c>
      <c r="I24" s="35">
        <f>44806958.25+2</f>
        <v>44806960.25</v>
      </c>
      <c r="J24" s="53">
        <f>+I24-H24</f>
        <v>7688573.9468423426</v>
      </c>
    </row>
    <row r="25" spans="1:10" x14ac:dyDescent="0.2">
      <c r="B25" s="6" t="s">
        <v>34</v>
      </c>
      <c r="C25" s="26"/>
      <c r="D25" s="40">
        <v>19521623.152402744</v>
      </c>
      <c r="E25" s="41">
        <v>22712834.200000003</v>
      </c>
      <c r="F25" s="42">
        <f>+E25-D25</f>
        <v>3191211.0475972593</v>
      </c>
      <c r="G25" s="30"/>
      <c r="H25" s="43">
        <f>SUM(H16:H24)</f>
        <v>576867572.69122672</v>
      </c>
      <c r="I25" s="54">
        <f>SUM(I16:I24)</f>
        <v>565318408.91000009</v>
      </c>
      <c r="J25" s="55">
        <f>SUM(I25-H25)</f>
        <v>-11549163.781226635</v>
      </c>
    </row>
    <row r="26" spans="1:10" x14ac:dyDescent="0.2">
      <c r="C26" s="7" t="s">
        <v>35</v>
      </c>
      <c r="D26" s="56">
        <v>184530018.25844455</v>
      </c>
      <c r="E26" s="57">
        <v>198521135.56999999</v>
      </c>
      <c r="F26" s="58">
        <f>+E26-D26</f>
        <v>13991117.311555445</v>
      </c>
      <c r="G26" s="30"/>
      <c r="H26" s="59">
        <f>SUM(H25,H15,H10)</f>
        <v>1932949907.7312267</v>
      </c>
      <c r="I26" s="60">
        <f>SUM(I25,I15,I10)</f>
        <v>1919660711.23</v>
      </c>
      <c r="J26" s="61">
        <f>SUM(I26-H26)</f>
        <v>-13289196.501226664</v>
      </c>
    </row>
    <row r="27" spans="1:10" x14ac:dyDescent="0.2">
      <c r="C27" s="7"/>
      <c r="D27" s="62"/>
      <c r="E27" s="63"/>
      <c r="F27" s="64"/>
      <c r="G27" s="30"/>
      <c r="H27" s="65"/>
      <c r="I27" s="63"/>
      <c r="J27" s="66"/>
    </row>
    <row r="28" spans="1:10" x14ac:dyDescent="0.2">
      <c r="B28" s="25" t="s">
        <v>36</v>
      </c>
      <c r="C28" s="7"/>
      <c r="D28" s="67">
        <v>1305433.7262933713</v>
      </c>
      <c r="E28" s="68">
        <v>834944.41</v>
      </c>
      <c r="F28" s="69">
        <f>+E28-D28</f>
        <v>-470489.31629337126</v>
      </c>
      <c r="G28" s="30"/>
      <c r="H28" s="49">
        <v>72852138.614754826</v>
      </c>
      <c r="I28" s="38">
        <f>71138036.81+2</f>
        <v>71138038.810000002</v>
      </c>
      <c r="J28" s="53">
        <f>+I28-H28</f>
        <v>-1714099.8047548234</v>
      </c>
    </row>
    <row r="29" spans="1:10" x14ac:dyDescent="0.2">
      <c r="C29" s="7" t="s">
        <v>37</v>
      </c>
      <c r="D29" s="56">
        <v>183224584.53215116</v>
      </c>
      <c r="E29" s="57">
        <f>+E26-E28</f>
        <v>197686191.16</v>
      </c>
      <c r="F29" s="58">
        <f>+E29-D29</f>
        <v>14461606.627848834</v>
      </c>
      <c r="G29" s="30"/>
      <c r="H29" s="59">
        <f>SUM(H26-H28)</f>
        <v>1860097769.1164718</v>
      </c>
      <c r="I29" s="60">
        <f>SUM(I26-I28)</f>
        <v>1848522672.4200001</v>
      </c>
      <c r="J29" s="70">
        <f>+I29-H29</f>
        <v>-11575096.696471691</v>
      </c>
    </row>
    <row r="30" spans="1:10" x14ac:dyDescent="0.2">
      <c r="A30" s="71" t="s">
        <v>38</v>
      </c>
      <c r="C30" s="26"/>
      <c r="D30" s="72"/>
      <c r="E30" s="73"/>
      <c r="F30" s="20"/>
      <c r="G30" s="30"/>
      <c r="H30" s="22"/>
      <c r="I30" s="19"/>
      <c r="J30" s="23"/>
    </row>
    <row r="31" spans="1:10" x14ac:dyDescent="0.2">
      <c r="A31" s="15" t="s">
        <v>39</v>
      </c>
      <c r="B31" s="74"/>
      <c r="C31" s="75"/>
      <c r="D31" s="18"/>
      <c r="E31" s="19"/>
      <c r="F31" s="20"/>
      <c r="G31" s="30"/>
      <c r="H31" s="22"/>
      <c r="I31" s="19"/>
      <c r="J31" s="23"/>
    </row>
    <row r="32" spans="1:10" x14ac:dyDescent="0.2">
      <c r="A32" s="24" t="s">
        <v>40</v>
      </c>
      <c r="C32" s="26"/>
      <c r="D32" s="76">
        <v>164277472.613336</v>
      </c>
      <c r="E32" s="52">
        <v>165941501</v>
      </c>
      <c r="F32" s="77">
        <f>+E32-D32</f>
        <v>1664028.3866640031</v>
      </c>
      <c r="G32" s="30" t="s">
        <v>41</v>
      </c>
      <c r="H32" s="78">
        <f>1147560398.47404+0.03</f>
        <v>1147560398.50404</v>
      </c>
      <c r="I32" s="48">
        <v>1188663545.3699999</v>
      </c>
      <c r="J32" s="79">
        <f>+I32-H32</f>
        <v>41103146.865959883</v>
      </c>
    </row>
    <row r="33" spans="1:10" x14ac:dyDescent="0.2">
      <c r="A33" s="24" t="s">
        <v>42</v>
      </c>
      <c r="C33" s="26"/>
      <c r="D33" s="80">
        <v>24900098.4220566</v>
      </c>
      <c r="E33" s="52">
        <v>25376566.780000001</v>
      </c>
      <c r="F33" s="50">
        <f>+E33-D33</f>
        <v>476468.35794340074</v>
      </c>
      <c r="G33" s="81" t="s">
        <v>43</v>
      </c>
      <c r="H33" s="37">
        <v>200247091.39197195</v>
      </c>
      <c r="I33" s="38">
        <f>221144017.8</f>
        <v>221144017.80000001</v>
      </c>
      <c r="J33" s="39">
        <f>+I33-H33+1</f>
        <v>20896927.408028066</v>
      </c>
    </row>
    <row r="34" spans="1:10" x14ac:dyDescent="0.2">
      <c r="A34" s="24" t="s">
        <v>44</v>
      </c>
      <c r="C34" s="26"/>
      <c r="D34" s="80">
        <v>6508361.8343898393</v>
      </c>
      <c r="E34" s="52">
        <v>5204910.67</v>
      </c>
      <c r="F34" s="50">
        <f>+E34-D34</f>
        <v>-1303451.1643898394</v>
      </c>
      <c r="G34" s="81" t="s">
        <v>45</v>
      </c>
      <c r="H34" s="37">
        <v>78189968.06852816</v>
      </c>
      <c r="I34" s="38">
        <v>82137125.079999998</v>
      </c>
      <c r="J34" s="82">
        <f>+I34-H34</f>
        <v>3947157.0114718378</v>
      </c>
    </row>
    <row r="35" spans="1:10" x14ac:dyDescent="0.2">
      <c r="A35" s="24" t="s">
        <v>46</v>
      </c>
      <c r="C35" s="26"/>
      <c r="D35" s="80">
        <v>4855632.1740431422</v>
      </c>
      <c r="E35" s="52">
        <v>2762590.05</v>
      </c>
      <c r="F35" s="50">
        <f>+E35-D35</f>
        <v>-2093042.1240431424</v>
      </c>
      <c r="G35" s="81" t="s">
        <v>47</v>
      </c>
      <c r="H35" s="37">
        <v>40299946.07193543</v>
      </c>
      <c r="I35" s="35">
        <v>34717758.189999998</v>
      </c>
      <c r="J35" s="82">
        <f>+I35-H35</f>
        <v>-5582187.8819354326</v>
      </c>
    </row>
    <row r="36" spans="1:10" x14ac:dyDescent="0.2">
      <c r="A36" s="24" t="s">
        <v>48</v>
      </c>
      <c r="C36" s="26"/>
      <c r="D36" s="80">
        <v>5683268.1760108853</v>
      </c>
      <c r="E36" s="52">
        <v>9176268.4700000007</v>
      </c>
      <c r="F36" s="50">
        <f>+E36-D36</f>
        <v>3493000.2939891154</v>
      </c>
      <c r="G36" s="81" t="s">
        <v>49</v>
      </c>
      <c r="H36" s="37">
        <v>50962094.539779514</v>
      </c>
      <c r="I36" s="35">
        <v>38620925.020000003</v>
      </c>
      <c r="J36" s="82">
        <f>+I36-H36</f>
        <v>-12341169.519779511</v>
      </c>
    </row>
    <row r="37" spans="1:10" x14ac:dyDescent="0.2">
      <c r="B37" s="6" t="s">
        <v>50</v>
      </c>
      <c r="C37" s="26"/>
      <c r="D37" s="40">
        <v>206224833.21983644</v>
      </c>
      <c r="E37" s="41">
        <v>208461835.97</v>
      </c>
      <c r="F37" s="42">
        <f>SUM(E37-D37)</f>
        <v>2237002.7501635551</v>
      </c>
      <c r="G37" s="30"/>
      <c r="H37" s="43">
        <f>SUM(H32:H36)</f>
        <v>1517259498.5762548</v>
      </c>
      <c r="I37" s="54">
        <f>SUM(I32:I36)</f>
        <v>1565283371.4599998</v>
      </c>
      <c r="J37" s="45">
        <f>SUM(I37-H37)-1</f>
        <v>48023871.883744955</v>
      </c>
    </row>
    <row r="38" spans="1:10" x14ac:dyDescent="0.2">
      <c r="A38" s="24" t="s">
        <v>51</v>
      </c>
      <c r="C38" s="26"/>
      <c r="D38" s="83">
        <v>57673.779772181704</v>
      </c>
      <c r="E38" s="84">
        <v>44444.18</v>
      </c>
      <c r="F38" s="85">
        <f t="shared" ref="F38:F45" si="3">+E38-D38</f>
        <v>-13229.599772181704</v>
      </c>
      <c r="G38" s="30"/>
      <c r="H38" s="31">
        <v>854464.51589190052</v>
      </c>
      <c r="I38" s="32">
        <f>+ROUND(1565585.41,0)</f>
        <v>1565585</v>
      </c>
      <c r="J38" s="79">
        <f t="shared" ref="J38:J45" si="4">+I38-H38</f>
        <v>711120.48410809948</v>
      </c>
    </row>
    <row r="39" spans="1:10" x14ac:dyDescent="0.2">
      <c r="A39" s="24" t="s">
        <v>52</v>
      </c>
      <c r="C39" s="26"/>
      <c r="D39" s="18">
        <v>79362.569701291271</v>
      </c>
      <c r="E39" s="19">
        <v>40022.980000000003</v>
      </c>
      <c r="F39" s="36">
        <f t="shared" si="3"/>
        <v>-39339.589701291268</v>
      </c>
      <c r="G39" s="30"/>
      <c r="H39" s="37">
        <v>1429882.0902456637</v>
      </c>
      <c r="I39" s="35">
        <f>+ROUND(854485.95,0)</f>
        <v>854486</v>
      </c>
      <c r="J39" s="82">
        <f t="shared" si="4"/>
        <v>-575396.09024566365</v>
      </c>
    </row>
    <row r="40" spans="1:10" x14ac:dyDescent="0.2">
      <c r="A40" s="24" t="s">
        <v>53</v>
      </c>
      <c r="C40" s="26"/>
      <c r="D40" s="18">
        <v>324466.61801019905</v>
      </c>
      <c r="E40" s="19">
        <v>355410.23</v>
      </c>
      <c r="F40" s="36">
        <f t="shared" si="3"/>
        <v>30943.611989800935</v>
      </c>
      <c r="G40" s="30"/>
      <c r="H40" s="37">
        <v>3331912.2290453035</v>
      </c>
      <c r="I40" s="35">
        <f>+ROUND(4110155.38,0)</f>
        <v>4110155</v>
      </c>
      <c r="J40" s="82">
        <f t="shared" si="4"/>
        <v>778242.77095469646</v>
      </c>
    </row>
    <row r="41" spans="1:10" x14ac:dyDescent="0.2">
      <c r="A41" s="24" t="s">
        <v>54</v>
      </c>
      <c r="C41" s="26"/>
      <c r="D41" s="18">
        <v>80119.981774116706</v>
      </c>
      <c r="E41" s="19">
        <v>4214.72</v>
      </c>
      <c r="F41" s="36">
        <f t="shared" si="3"/>
        <v>-75905.261774116705</v>
      </c>
      <c r="G41" s="30"/>
      <c r="H41" s="86">
        <f>475241.569442736-0.07</f>
        <v>475241.49944273598</v>
      </c>
      <c r="I41" s="35">
        <f>+ROUND(493643.36,0)</f>
        <v>493643</v>
      </c>
      <c r="J41" s="82">
        <f t="shared" si="4"/>
        <v>18401.500557264022</v>
      </c>
    </row>
    <row r="42" spans="1:10" x14ac:dyDescent="0.2">
      <c r="A42" s="24" t="s">
        <v>55</v>
      </c>
      <c r="C42" s="26"/>
      <c r="D42" s="18">
        <v>55528.003770370095</v>
      </c>
      <c r="E42" s="19">
        <v>32890.25</v>
      </c>
      <c r="F42" s="36">
        <f t="shared" si="3"/>
        <v>-22637.753770370095</v>
      </c>
      <c r="G42" s="30"/>
      <c r="H42" s="37">
        <v>587369.36816366087</v>
      </c>
      <c r="I42" s="35">
        <v>336312.09</v>
      </c>
      <c r="J42" s="82">
        <f t="shared" si="4"/>
        <v>-251057.27816366084</v>
      </c>
    </row>
    <row r="43" spans="1:10" hidden="1" x14ac:dyDescent="0.2">
      <c r="A43" s="24" t="s">
        <v>56</v>
      </c>
      <c r="C43" s="26"/>
      <c r="D43" s="87">
        <v>0</v>
      </c>
      <c r="E43" s="35">
        <v>0</v>
      </c>
      <c r="F43" s="36">
        <f t="shared" si="3"/>
        <v>0</v>
      </c>
      <c r="G43" s="30"/>
      <c r="H43" s="37">
        <v>0</v>
      </c>
      <c r="I43" s="35">
        <v>0</v>
      </c>
      <c r="J43" s="82">
        <f t="shared" si="4"/>
        <v>0</v>
      </c>
    </row>
    <row r="44" spans="1:10" x14ac:dyDescent="0.2">
      <c r="A44" s="24" t="s">
        <v>57</v>
      </c>
      <c r="C44" s="26"/>
      <c r="D44" s="18">
        <v>8193.6638132354274</v>
      </c>
      <c r="E44" s="19">
        <v>69.3</v>
      </c>
      <c r="F44" s="36">
        <f t="shared" si="3"/>
        <v>-8124.3638132354272</v>
      </c>
      <c r="G44" s="88"/>
      <c r="H44" s="37">
        <v>250739.74263287365</v>
      </c>
      <c r="I44" s="35">
        <f>153348.04</f>
        <v>153348.04</v>
      </c>
      <c r="J44" s="82">
        <f t="shared" si="4"/>
        <v>-97391.702632873639</v>
      </c>
    </row>
    <row r="45" spans="1:10" x14ac:dyDescent="0.2">
      <c r="A45" s="24" t="s">
        <v>58</v>
      </c>
      <c r="C45" s="26"/>
      <c r="D45" s="18">
        <v>2386.3881791860863</v>
      </c>
      <c r="E45" s="89">
        <v>15670.8</v>
      </c>
      <c r="F45" s="36">
        <f t="shared" si="3"/>
        <v>13284.411820813913</v>
      </c>
      <c r="G45" s="30"/>
      <c r="H45" s="37">
        <v>17026.879658492726</v>
      </c>
      <c r="I45" s="35">
        <v>163589.91999999998</v>
      </c>
      <c r="J45" s="82">
        <f t="shared" si="4"/>
        <v>146563.04034150727</v>
      </c>
    </row>
    <row r="46" spans="1:10" x14ac:dyDescent="0.2">
      <c r="B46" s="6" t="s">
        <v>59</v>
      </c>
      <c r="C46" s="26"/>
      <c r="D46" s="40">
        <v>607731.00502058025</v>
      </c>
      <c r="E46" s="90">
        <v>492720.45999999996</v>
      </c>
      <c r="F46" s="42">
        <f>SUM(E46-D46)</f>
        <v>-115010.54502058029</v>
      </c>
      <c r="G46" s="30"/>
      <c r="H46" s="43">
        <f>SUM(H38:H45)</f>
        <v>6946636.3250806304</v>
      </c>
      <c r="I46" s="54">
        <f>SUM(I38:I45)</f>
        <v>7677119.0499999998</v>
      </c>
      <c r="J46" s="55">
        <f t="shared" ref="J46:J60" si="5">SUM(I46-H46)</f>
        <v>730482.72491936944</v>
      </c>
    </row>
    <row r="47" spans="1:10" x14ac:dyDescent="0.2">
      <c r="C47" s="7" t="s">
        <v>60</v>
      </c>
      <c r="D47" s="91">
        <v>206832564.22485703</v>
      </c>
      <c r="E47" s="90">
        <v>208954556.43000001</v>
      </c>
      <c r="F47" s="42">
        <f>SUM(E47-D47)</f>
        <v>2121992.2051429749</v>
      </c>
      <c r="G47" s="30"/>
      <c r="H47" s="43">
        <f>SUM(H46,H37)</f>
        <v>1524206134.9013355</v>
      </c>
      <c r="I47" s="54">
        <f>SUM(I46,I37)-1</f>
        <v>1572960489.5099998</v>
      </c>
      <c r="J47" s="55">
        <f t="shared" si="5"/>
        <v>48754354.608664274</v>
      </c>
    </row>
    <row r="48" spans="1:10" x14ac:dyDescent="0.2">
      <c r="A48" s="24" t="s">
        <v>61</v>
      </c>
      <c r="C48" s="26"/>
      <c r="D48" s="92">
        <v>0</v>
      </c>
      <c r="E48" s="93">
        <v>-16570.02</v>
      </c>
      <c r="F48" s="77">
        <f>+E48-D48</f>
        <v>-16570.02</v>
      </c>
      <c r="G48" s="30"/>
      <c r="H48" s="31">
        <v>29914.448434774</v>
      </c>
      <c r="I48" s="32">
        <v>863373.82000000007</v>
      </c>
      <c r="J48" s="94">
        <f>SUM(I48-H48)+1</f>
        <v>833460.37156522612</v>
      </c>
    </row>
    <row r="49" spans="1:10" x14ac:dyDescent="0.2">
      <c r="A49" s="24" t="s">
        <v>62</v>
      </c>
      <c r="C49" s="26"/>
      <c r="D49" s="37">
        <v>5855.5091721064291</v>
      </c>
      <c r="E49" s="52">
        <v>0</v>
      </c>
      <c r="F49" s="50">
        <f>+E49-D49</f>
        <v>-5855.5091721064291</v>
      </c>
      <c r="G49" s="30"/>
      <c r="H49" s="37">
        <v>144018.20761748048</v>
      </c>
      <c r="I49" s="35">
        <v>179201.7</v>
      </c>
      <c r="J49" s="82">
        <f>SUM(I49-H49)+1</f>
        <v>35184.492382519529</v>
      </c>
    </row>
    <row r="50" spans="1:10" x14ac:dyDescent="0.2">
      <c r="A50" s="24" t="s">
        <v>63</v>
      </c>
      <c r="C50" s="26"/>
      <c r="D50" s="37">
        <v>0</v>
      </c>
      <c r="E50" s="52">
        <v>0</v>
      </c>
      <c r="F50" s="50">
        <f>+E50-D50</f>
        <v>0</v>
      </c>
      <c r="G50" s="30"/>
      <c r="H50" s="37">
        <v>0</v>
      </c>
      <c r="I50" s="35">
        <v>3030139.5</v>
      </c>
      <c r="J50" s="82">
        <f t="shared" si="5"/>
        <v>3030139.5</v>
      </c>
    </row>
    <row r="51" spans="1:10" x14ac:dyDescent="0.2">
      <c r="A51" s="24" t="s">
        <v>64</v>
      </c>
      <c r="C51" s="26"/>
      <c r="D51" s="37">
        <v>1164899.9434540467</v>
      </c>
      <c r="E51" s="52">
        <v>1219093.4200000018</v>
      </c>
      <c r="F51" s="36">
        <f>+E51-D51</f>
        <v>54193.476545955054</v>
      </c>
      <c r="G51" s="30" t="s">
        <v>65</v>
      </c>
      <c r="H51" s="37">
        <v>44382720.002459481</v>
      </c>
      <c r="I51" s="35">
        <v>61541487.400000013</v>
      </c>
      <c r="J51" s="82">
        <f t="shared" si="5"/>
        <v>17158767.397540532</v>
      </c>
    </row>
    <row r="52" spans="1:10" x14ac:dyDescent="0.2">
      <c r="A52" s="24" t="s">
        <v>66</v>
      </c>
      <c r="C52" s="26"/>
      <c r="D52" s="37">
        <v>38889.4218791522</v>
      </c>
      <c r="E52" s="52">
        <v>31349.09</v>
      </c>
      <c r="F52" s="36">
        <f t="shared" ref="F52:F57" si="6">+E52-D52</f>
        <v>-7540.3318791521997</v>
      </c>
      <c r="G52" s="30"/>
      <c r="H52" s="37">
        <v>96642.62884834595</v>
      </c>
      <c r="I52" s="35">
        <v>270015.71000000002</v>
      </c>
      <c r="J52" s="82">
        <f t="shared" si="5"/>
        <v>173373.08115165407</v>
      </c>
    </row>
    <row r="53" spans="1:10" x14ac:dyDescent="0.2">
      <c r="A53" s="24" t="s">
        <v>67</v>
      </c>
      <c r="C53" s="26"/>
      <c r="D53" s="37">
        <v>238384.64451688726</v>
      </c>
      <c r="E53" s="52">
        <v>363084.36</v>
      </c>
      <c r="F53" s="36">
        <f t="shared" si="6"/>
        <v>124699.71548311273</v>
      </c>
      <c r="G53" s="30" t="s">
        <v>68</v>
      </c>
      <c r="H53" s="37">
        <v>4343121.0574751589</v>
      </c>
      <c r="I53" s="35">
        <v>8034350.8300000001</v>
      </c>
      <c r="J53" s="82">
        <f t="shared" si="5"/>
        <v>3691229.7725248411</v>
      </c>
    </row>
    <row r="54" spans="1:10" x14ac:dyDescent="0.2">
      <c r="A54" s="24" t="s">
        <v>69</v>
      </c>
      <c r="C54" s="26"/>
      <c r="D54" s="37">
        <v>487237.55733272288</v>
      </c>
      <c r="E54" s="52">
        <v>572213.18999999994</v>
      </c>
      <c r="F54" s="36">
        <f t="shared" si="6"/>
        <v>84975.632667277067</v>
      </c>
      <c r="G54" s="30"/>
      <c r="H54" s="37">
        <v>6965240.4441255787</v>
      </c>
      <c r="I54" s="35">
        <v>5530640.379999999</v>
      </c>
      <c r="J54" s="82">
        <f t="shared" si="5"/>
        <v>-1434600.0641255798</v>
      </c>
    </row>
    <row r="55" spans="1:10" x14ac:dyDescent="0.2">
      <c r="A55" s="24" t="s">
        <v>70</v>
      </c>
      <c r="C55" s="26"/>
      <c r="D55" s="37">
        <v>0</v>
      </c>
      <c r="E55" s="52">
        <v>0</v>
      </c>
      <c r="F55" s="36">
        <f t="shared" si="6"/>
        <v>0</v>
      </c>
      <c r="G55" s="30" t="s">
        <v>71</v>
      </c>
      <c r="H55" s="37">
        <v>1407595.5529149435</v>
      </c>
      <c r="I55" s="35">
        <v>4006648.01</v>
      </c>
      <c r="J55" s="82">
        <f t="shared" si="5"/>
        <v>2599052.4570850562</v>
      </c>
    </row>
    <row r="56" spans="1:10" x14ac:dyDescent="0.2">
      <c r="A56" s="24" t="s">
        <v>72</v>
      </c>
      <c r="C56" s="26"/>
      <c r="D56" s="37">
        <v>343359.64137704886</v>
      </c>
      <c r="E56" s="52">
        <v>541484.09</v>
      </c>
      <c r="F56" s="36">
        <f t="shared" si="6"/>
        <v>198124.44862295111</v>
      </c>
      <c r="G56" s="30"/>
      <c r="H56" s="37">
        <v>3163008.0197538198</v>
      </c>
      <c r="I56" s="35">
        <v>2869893.82</v>
      </c>
      <c r="J56" s="82">
        <f t="shared" si="5"/>
        <v>-293114.19975381996</v>
      </c>
    </row>
    <row r="57" spans="1:10" x14ac:dyDescent="0.2">
      <c r="A57" s="24" t="s">
        <v>73</v>
      </c>
      <c r="C57" s="26"/>
      <c r="D57" s="37">
        <v>-223284</v>
      </c>
      <c r="E57" s="52">
        <v>-246848</v>
      </c>
      <c r="F57" s="36">
        <f t="shared" si="6"/>
        <v>-23564</v>
      </c>
      <c r="G57" s="30"/>
      <c r="H57" s="37">
        <v>675210.56963807589</v>
      </c>
      <c r="I57" s="35">
        <v>-353227</v>
      </c>
      <c r="J57" s="82">
        <f t="shared" si="5"/>
        <v>-1028437.5696380759</v>
      </c>
    </row>
    <row r="58" spans="1:10" hidden="1" x14ac:dyDescent="0.2">
      <c r="A58" s="24" t="s">
        <v>74</v>
      </c>
      <c r="C58" s="26"/>
      <c r="D58" s="37">
        <v>0</v>
      </c>
      <c r="E58" s="52">
        <v>0</v>
      </c>
      <c r="F58" s="36">
        <f>+E58-D58</f>
        <v>0</v>
      </c>
      <c r="G58" s="30"/>
      <c r="H58" s="37">
        <v>0</v>
      </c>
      <c r="I58" s="35">
        <v>0</v>
      </c>
      <c r="J58" s="82">
        <f t="shared" si="5"/>
        <v>0</v>
      </c>
    </row>
    <row r="59" spans="1:10" x14ac:dyDescent="0.2">
      <c r="B59" s="6" t="s">
        <v>75</v>
      </c>
      <c r="C59" s="26"/>
      <c r="D59" s="91">
        <v>2055342.7177319648</v>
      </c>
      <c r="E59" s="90">
        <v>2463807.1300000018</v>
      </c>
      <c r="F59" s="42">
        <f>SUM(E59-D59)</f>
        <v>408464.41226803698</v>
      </c>
      <c r="G59" s="30"/>
      <c r="H59" s="43">
        <f>SUM(H48:H58)</f>
        <v>61207470.931267656</v>
      </c>
      <c r="I59" s="54">
        <f>SUM(I48:I58)+1</f>
        <v>85972525.170000017</v>
      </c>
      <c r="J59" s="55">
        <f t="shared" si="5"/>
        <v>24765054.23873236</v>
      </c>
    </row>
    <row r="60" spans="1:10" x14ac:dyDescent="0.2">
      <c r="C60" s="7" t="s">
        <v>76</v>
      </c>
      <c r="D60" s="95">
        <v>208887906.94258898</v>
      </c>
      <c r="E60" s="96">
        <v>211418363.56</v>
      </c>
      <c r="F60" s="58">
        <f>SUM(E60-D60)</f>
        <v>2530456.6174110174</v>
      </c>
      <c r="G60" s="30"/>
      <c r="H60" s="59">
        <f>SUM(H47+H59)</f>
        <v>1585413605.8326032</v>
      </c>
      <c r="I60" s="60">
        <f>SUM(I47+I59)</f>
        <v>1658933014.6799998</v>
      </c>
      <c r="J60" s="70">
        <f t="shared" si="5"/>
        <v>73519408.847396612</v>
      </c>
    </row>
    <row r="61" spans="1:10" x14ac:dyDescent="0.2">
      <c r="A61" s="71" t="s">
        <v>77</v>
      </c>
      <c r="C61" s="7"/>
      <c r="D61" s="18"/>
      <c r="E61" s="73"/>
      <c r="F61" s="20"/>
      <c r="G61" s="30"/>
      <c r="H61" s="22"/>
      <c r="I61" s="73"/>
      <c r="J61" s="23"/>
    </row>
    <row r="62" spans="1:10" x14ac:dyDescent="0.2">
      <c r="A62" s="24" t="s">
        <v>40</v>
      </c>
      <c r="C62" s="7"/>
      <c r="D62" s="97">
        <f t="shared" ref="D62:D71" si="7">+E62</f>
        <v>332995.67</v>
      </c>
      <c r="E62" s="28">
        <v>332995.67</v>
      </c>
      <c r="F62" s="29">
        <f>SUM(E62-D62)</f>
        <v>0</v>
      </c>
      <c r="G62" s="30"/>
      <c r="H62" s="31">
        <f t="shared" ref="H62:H67" si="8">+I62</f>
        <v>81579635.519999996</v>
      </c>
      <c r="I62" s="48">
        <v>81579635.519999996</v>
      </c>
      <c r="J62" s="79">
        <f t="shared" ref="J62:J68" si="9">SUM(I62-H62)</f>
        <v>0</v>
      </c>
    </row>
    <row r="63" spans="1:10" x14ac:dyDescent="0.2">
      <c r="A63" s="24" t="s">
        <v>42</v>
      </c>
      <c r="C63" s="7"/>
      <c r="D63" s="87">
        <f t="shared" si="7"/>
        <v>4125234.28</v>
      </c>
      <c r="E63" s="35">
        <v>4125234.28</v>
      </c>
      <c r="F63" s="36">
        <f t="shared" ref="F63:F71" si="10">SUM(E63-D63)</f>
        <v>0</v>
      </c>
      <c r="G63" s="30"/>
      <c r="H63" s="37">
        <f t="shared" si="8"/>
        <v>24263184.93</v>
      </c>
      <c r="I63" s="35">
        <v>24263184.93</v>
      </c>
      <c r="J63" s="82">
        <f t="shared" si="9"/>
        <v>0</v>
      </c>
    </row>
    <row r="64" spans="1:10" x14ac:dyDescent="0.2">
      <c r="A64" s="24" t="s">
        <v>78</v>
      </c>
      <c r="C64" s="7"/>
      <c r="D64" s="87">
        <f t="shared" si="7"/>
        <v>2731681.3</v>
      </c>
      <c r="E64" s="35">
        <v>2731681.3</v>
      </c>
      <c r="F64" s="36">
        <f t="shared" si="10"/>
        <v>0</v>
      </c>
      <c r="G64" s="30"/>
      <c r="H64" s="37">
        <f t="shared" si="8"/>
        <v>13440073.140000001</v>
      </c>
      <c r="I64" s="38">
        <v>13440073.140000001</v>
      </c>
      <c r="J64" s="82">
        <f t="shared" si="9"/>
        <v>0</v>
      </c>
    </row>
    <row r="65" spans="1:10" x14ac:dyDescent="0.2">
      <c r="A65" s="24" t="s">
        <v>46</v>
      </c>
      <c r="C65" s="7"/>
      <c r="D65" s="87">
        <f t="shared" si="7"/>
        <v>2203549.9300000002</v>
      </c>
      <c r="E65" s="35">
        <v>2203549.9300000002</v>
      </c>
      <c r="F65" s="36">
        <f t="shared" si="10"/>
        <v>0</v>
      </c>
      <c r="G65" s="30"/>
      <c r="H65" s="37">
        <f t="shared" si="8"/>
        <v>6996553.8499999996</v>
      </c>
      <c r="I65" s="35">
        <v>6996553.8499999996</v>
      </c>
      <c r="J65" s="82">
        <f t="shared" si="9"/>
        <v>0</v>
      </c>
    </row>
    <row r="66" spans="1:10" hidden="1" x14ac:dyDescent="0.2">
      <c r="A66" s="24" t="s">
        <v>79</v>
      </c>
      <c r="C66" s="7"/>
      <c r="D66" s="87">
        <f t="shared" si="7"/>
        <v>0</v>
      </c>
      <c r="E66" s="35">
        <v>0</v>
      </c>
      <c r="F66" s="36">
        <f t="shared" si="10"/>
        <v>0</v>
      </c>
      <c r="G66" s="30"/>
      <c r="H66" s="37">
        <f t="shared" si="8"/>
        <v>0</v>
      </c>
      <c r="I66" s="35">
        <v>0</v>
      </c>
      <c r="J66" s="82">
        <f t="shared" si="9"/>
        <v>0</v>
      </c>
    </row>
    <row r="67" spans="1:10" x14ac:dyDescent="0.2">
      <c r="A67" s="24" t="s">
        <v>48</v>
      </c>
      <c r="C67" s="7"/>
      <c r="D67" s="87">
        <f t="shared" si="7"/>
        <v>454616.26</v>
      </c>
      <c r="E67" s="35">
        <v>454616.26</v>
      </c>
      <c r="F67" s="36">
        <f t="shared" si="10"/>
        <v>0</v>
      </c>
      <c r="G67" s="30"/>
      <c r="H67" s="37">
        <f t="shared" si="8"/>
        <v>11140211.27</v>
      </c>
      <c r="I67" s="35">
        <v>11140211.27</v>
      </c>
      <c r="J67" s="82">
        <f t="shared" si="9"/>
        <v>0</v>
      </c>
    </row>
    <row r="68" spans="1:10" x14ac:dyDescent="0.2">
      <c r="B68" s="6" t="s">
        <v>80</v>
      </c>
      <c r="C68" s="7"/>
      <c r="D68" s="98">
        <f t="shared" si="7"/>
        <v>9848077.4399999995</v>
      </c>
      <c r="E68" s="99">
        <v>9848077.4399999995</v>
      </c>
      <c r="F68" s="100">
        <f t="shared" si="10"/>
        <v>0</v>
      </c>
      <c r="G68" s="30"/>
      <c r="H68" s="43">
        <f>SUM(H62:H67)</f>
        <v>137419658.70999998</v>
      </c>
      <c r="I68" s="54">
        <f>SUM(I62:I67)</f>
        <v>137419658.70999998</v>
      </c>
      <c r="J68" s="55">
        <f t="shared" si="9"/>
        <v>0</v>
      </c>
    </row>
    <row r="69" spans="1:10" x14ac:dyDescent="0.2">
      <c r="A69" s="24" t="s">
        <v>64</v>
      </c>
      <c r="B69" s="6"/>
      <c r="C69" s="7"/>
      <c r="D69" s="97">
        <f t="shared" si="7"/>
        <v>12418277.119999999</v>
      </c>
      <c r="E69" s="28">
        <v>12418277.119999999</v>
      </c>
      <c r="F69" s="29">
        <f t="shared" si="10"/>
        <v>0</v>
      </c>
      <c r="G69" s="30"/>
      <c r="H69" s="31">
        <f>+I69</f>
        <v>60065685.339999996</v>
      </c>
      <c r="I69" s="32">
        <v>60065685.339999996</v>
      </c>
      <c r="J69" s="79">
        <f>-SUM(I69-H69)</f>
        <v>0</v>
      </c>
    </row>
    <row r="70" spans="1:10" x14ac:dyDescent="0.2">
      <c r="A70" s="24" t="s">
        <v>81</v>
      </c>
      <c r="C70" s="7"/>
      <c r="D70" s="87">
        <f t="shared" si="7"/>
        <v>3530338.04</v>
      </c>
      <c r="E70" s="35">
        <v>3530338.04</v>
      </c>
      <c r="F70" s="36">
        <f t="shared" si="10"/>
        <v>0</v>
      </c>
      <c r="G70" s="30"/>
      <c r="H70" s="37">
        <f>+I70</f>
        <v>43444085.18</v>
      </c>
      <c r="I70" s="35">
        <v>43444085.18</v>
      </c>
      <c r="J70" s="82">
        <f>SUM(I70-H70)</f>
        <v>0</v>
      </c>
    </row>
    <row r="71" spans="1:10" x14ac:dyDescent="0.2">
      <c r="A71" s="24" t="s">
        <v>82</v>
      </c>
      <c r="C71" s="7"/>
      <c r="D71" s="87">
        <f t="shared" si="7"/>
        <v>0</v>
      </c>
      <c r="E71" s="35">
        <v>0</v>
      </c>
      <c r="F71" s="36">
        <f t="shared" si="10"/>
        <v>0</v>
      </c>
      <c r="G71" s="30"/>
      <c r="H71" s="37">
        <f>+I71</f>
        <v>385911</v>
      </c>
      <c r="I71" s="35">
        <v>385911</v>
      </c>
      <c r="J71" s="82">
        <f>SUM(I71-H71)</f>
        <v>0</v>
      </c>
    </row>
    <row r="72" spans="1:10" x14ac:dyDescent="0.2">
      <c r="B72" s="6" t="s">
        <v>83</v>
      </c>
      <c r="C72" s="26"/>
      <c r="D72" s="98">
        <v>4886193.2568442319</v>
      </c>
      <c r="E72" s="99">
        <v>15948616.16</v>
      </c>
      <c r="F72" s="100">
        <f>SUM(F69:F71)</f>
        <v>0</v>
      </c>
      <c r="G72" s="30"/>
      <c r="H72" s="101">
        <f>SUM(H69:H71)-1</f>
        <v>103895680.52</v>
      </c>
      <c r="I72" s="54">
        <f>SUM(I69:I71)-1</f>
        <v>103895680.52</v>
      </c>
      <c r="J72" s="55">
        <f>SUM(J69:J71)</f>
        <v>0</v>
      </c>
    </row>
    <row r="73" spans="1:10" x14ac:dyDescent="0.2">
      <c r="B73" s="6"/>
      <c r="C73" s="7" t="s">
        <v>84</v>
      </c>
      <c r="D73" s="56">
        <f>+E73</f>
        <v>25796692.600000001</v>
      </c>
      <c r="E73" s="57">
        <v>25796692.600000001</v>
      </c>
      <c r="F73" s="58">
        <f>SUM(E73-D73)</f>
        <v>0</v>
      </c>
      <c r="G73" s="30"/>
      <c r="H73" s="59">
        <f>+I73</f>
        <v>241315340.22999996</v>
      </c>
      <c r="I73" s="60">
        <f>+I68+I72+1</f>
        <v>241315340.22999996</v>
      </c>
      <c r="J73" s="70">
        <f>SUM(I73-H73)</f>
        <v>0</v>
      </c>
    </row>
    <row r="74" spans="1:10" x14ac:dyDescent="0.2">
      <c r="C74" s="26"/>
      <c r="D74" s="18"/>
      <c r="E74" s="19"/>
      <c r="F74" s="20"/>
      <c r="G74" s="30"/>
      <c r="H74" s="22"/>
      <c r="I74" s="19"/>
      <c r="J74" s="23"/>
    </row>
    <row r="75" spans="1:10" x14ac:dyDescent="0.2">
      <c r="C75" s="7" t="s">
        <v>85</v>
      </c>
      <c r="D75" s="102">
        <v>217754847.35410124</v>
      </c>
      <c r="E75" s="57">
        <v>237215056.16</v>
      </c>
      <c r="F75" s="58">
        <f>SUM(F60+F73)</f>
        <v>2530456.6174110174</v>
      </c>
      <c r="G75" s="30"/>
      <c r="H75" s="59">
        <f>SUM(H60+H73)</f>
        <v>1826728946.0626032</v>
      </c>
      <c r="I75" s="60">
        <f>SUM(I60+I73)</f>
        <v>1900248354.9099998</v>
      </c>
      <c r="J75" s="70">
        <f>SUM(J60+J73)</f>
        <v>73519408.847396612</v>
      </c>
    </row>
    <row r="76" spans="1:10" ht="13.5" thickBot="1" x14ac:dyDescent="0.25">
      <c r="A76" s="103" t="s">
        <v>86</v>
      </c>
      <c r="B76" s="104"/>
      <c r="C76" s="105"/>
      <c r="D76" s="106"/>
      <c r="E76" s="107">
        <v>-39528865</v>
      </c>
      <c r="F76" s="108"/>
      <c r="G76" s="106"/>
      <c r="H76" s="109"/>
      <c r="I76" s="110">
        <f>I29-I75-0.02</f>
        <v>-51725682.509999774</v>
      </c>
      <c r="J76" s="107"/>
    </row>
    <row r="77" spans="1:10" x14ac:dyDescent="0.2">
      <c r="B77" s="6"/>
      <c r="H77" s="111"/>
    </row>
    <row r="78" spans="1:10" x14ac:dyDescent="0.2">
      <c r="B78" s="113"/>
      <c r="C78" s="114"/>
    </row>
    <row r="79" spans="1:10" x14ac:dyDescent="0.2">
      <c r="B79" s="113"/>
      <c r="C79" s="114"/>
      <c r="H79" s="115"/>
    </row>
    <row r="80" spans="1:10" x14ac:dyDescent="0.2">
      <c r="B80" s="6"/>
    </row>
    <row r="82" spans="4:4" x14ac:dyDescent="0.2">
      <c r="D82" s="116"/>
    </row>
    <row r="83" spans="4:4" x14ac:dyDescent="0.2">
      <c r="D83" s="117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zoomScale="110" zoomScaleNormal="110" workbookViewId="0">
      <pane xSplit="3" ySplit="5" topLeftCell="D66" activePane="bottomRight" state="frozen"/>
      <selection activeCell="G29" sqref="G29"/>
      <selection pane="topRight" activeCell="G29" sqref="G29"/>
      <selection pane="bottomLeft" activeCell="G29" sqref="G29"/>
      <selection pane="bottomRight" activeCell="C82" sqref="C82"/>
    </sheetView>
  </sheetViews>
  <sheetFormatPr baseColWidth="10" defaultRowHeight="12.75" x14ac:dyDescent="0.2"/>
  <cols>
    <col min="1" max="1" width="1.7109375" style="159" customWidth="1"/>
    <col min="2" max="2" width="2" style="160" customWidth="1"/>
    <col min="3" max="3" width="32.140625" style="160" customWidth="1"/>
    <col min="4" max="4" width="0.140625" style="160" customWidth="1"/>
    <col min="5" max="5" width="14.85546875" style="160" hidden="1" customWidth="1"/>
    <col min="6" max="6" width="14.28515625" style="160" hidden="1" customWidth="1"/>
    <col min="7" max="7" width="0.28515625" style="145" hidden="1" customWidth="1"/>
    <col min="8" max="8" width="16.28515625" style="145" customWidth="1"/>
    <col min="9" max="9" width="16" style="145" customWidth="1"/>
    <col min="10" max="10" width="13.85546875" style="187" bestFit="1" customWidth="1"/>
    <col min="11" max="11" width="2.42578125" style="145" customWidth="1"/>
    <col min="12" max="12" width="19.42578125" style="118" customWidth="1"/>
    <col min="13" max="13" width="4.5703125" style="145" customWidth="1"/>
    <col min="14" max="14" width="13.7109375" style="111" customWidth="1"/>
    <col min="15" max="15" width="3.42578125" style="145" customWidth="1"/>
    <col min="16" max="16" width="15.85546875" style="145" bestFit="1" customWidth="1"/>
    <col min="17" max="17" width="13.5703125" style="145" customWidth="1"/>
    <col min="18" max="16384" width="11.42578125" style="145"/>
  </cols>
  <sheetData>
    <row r="1" spans="1:13" ht="18" x14ac:dyDescent="0.2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1"/>
    </row>
    <row r="2" spans="1:13" ht="15.75" x14ac:dyDescent="0.25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4"/>
    </row>
    <row r="3" spans="1:13" ht="16.5" thickBot="1" x14ac:dyDescent="0.3">
      <c r="A3" s="215" t="s">
        <v>111</v>
      </c>
      <c r="B3" s="216"/>
      <c r="C3" s="216"/>
      <c r="D3" s="216"/>
      <c r="E3" s="216"/>
      <c r="F3" s="216"/>
      <c r="G3" s="216"/>
      <c r="H3" s="216"/>
      <c r="I3" s="216"/>
      <c r="J3" s="217"/>
    </row>
    <row r="4" spans="1:13" ht="13.5" thickBot="1" x14ac:dyDescent="0.25">
      <c r="A4" s="146"/>
      <c r="B4" s="147"/>
      <c r="C4" s="148"/>
      <c r="D4" s="206" t="s">
        <v>112</v>
      </c>
      <c r="E4" s="207"/>
      <c r="F4" s="208"/>
      <c r="G4" s="149"/>
      <c r="H4" s="206" t="s">
        <v>113</v>
      </c>
      <c r="I4" s="207"/>
      <c r="J4" s="208"/>
    </row>
    <row r="5" spans="1:13" x14ac:dyDescent="0.2">
      <c r="A5" s="150"/>
      <c r="B5" s="151"/>
      <c r="C5" s="152"/>
      <c r="D5" s="8" t="s">
        <v>5</v>
      </c>
      <c r="E5" s="9" t="s">
        <v>6</v>
      </c>
      <c r="F5" s="10" t="s">
        <v>7</v>
      </c>
      <c r="G5" s="153"/>
      <c r="H5" s="8" t="s">
        <v>5</v>
      </c>
      <c r="I5" s="9" t="s">
        <v>6</v>
      </c>
      <c r="J5" s="154" t="s">
        <v>7</v>
      </c>
    </row>
    <row r="6" spans="1:13" x14ac:dyDescent="0.2">
      <c r="A6" s="155" t="s">
        <v>8</v>
      </c>
      <c r="B6" s="156"/>
      <c r="C6" s="157"/>
      <c r="D6" s="18"/>
      <c r="E6" s="19"/>
      <c r="F6" s="20"/>
      <c r="G6" s="158"/>
      <c r="H6" s="18"/>
      <c r="I6" s="19"/>
      <c r="J6" s="23"/>
    </row>
    <row r="7" spans="1:13" x14ac:dyDescent="0.2">
      <c r="A7" s="159" t="s">
        <v>9</v>
      </c>
      <c r="C7" s="161"/>
      <c r="D7" s="27">
        <v>40146078.140000001</v>
      </c>
      <c r="E7" s="28">
        <f>+[1]mesvsmes!D7</f>
        <v>46147587</v>
      </c>
      <c r="F7" s="29">
        <f t="shared" ref="F7:F23" si="0">+E7-D7</f>
        <v>6001508.8599999994</v>
      </c>
      <c r="G7" s="161"/>
      <c r="H7" s="46">
        <f>[2]COMPRES!$H$7+D7</f>
        <v>669101312.77999997</v>
      </c>
      <c r="I7" s="28">
        <f>+[1]mesvsmes!J7</f>
        <v>695950787</v>
      </c>
      <c r="J7" s="162">
        <f>+I7-H7</f>
        <v>26849474.220000029</v>
      </c>
      <c r="K7" s="111"/>
    </row>
    <row r="8" spans="1:13" x14ac:dyDescent="0.2">
      <c r="A8" s="159" t="s">
        <v>12</v>
      </c>
      <c r="C8" s="161"/>
      <c r="D8" s="34">
        <v>27534592.140000001</v>
      </c>
      <c r="E8" s="35">
        <f>[1]mesvsmes!D8</f>
        <v>31557561</v>
      </c>
      <c r="F8" s="36">
        <f t="shared" si="0"/>
        <v>4022968.8599999994</v>
      </c>
      <c r="G8" s="161"/>
      <c r="H8" s="34">
        <f>[2]COMPRES!$H$8+D8</f>
        <v>458909874.22000009</v>
      </c>
      <c r="I8" s="19">
        <f>+[1]mesvsmes!J8</f>
        <v>475918885</v>
      </c>
      <c r="J8" s="50">
        <f>+I8-H8</f>
        <v>17009010.779999912</v>
      </c>
      <c r="K8" s="111"/>
    </row>
    <row r="9" spans="1:13" x14ac:dyDescent="0.2">
      <c r="A9" s="159" t="s">
        <v>114</v>
      </c>
      <c r="C9" s="161"/>
      <c r="D9" s="34"/>
      <c r="E9" s="35">
        <f>+[1]mesvsmes!D9</f>
        <v>40078844</v>
      </c>
      <c r="F9" s="36">
        <f t="shared" si="0"/>
        <v>40078844</v>
      </c>
      <c r="G9" s="122"/>
      <c r="H9" s="34">
        <f>[2]COMPRES!$H$9+D9</f>
        <v>136038405</v>
      </c>
      <c r="I9" s="35">
        <f>+[1]mesvsmes!J9</f>
        <v>140543209</v>
      </c>
      <c r="J9" s="50">
        <f>+I9-H9</f>
        <v>4504804</v>
      </c>
    </row>
    <row r="10" spans="1:13" x14ac:dyDescent="0.2">
      <c r="B10" s="151" t="s">
        <v>13</v>
      </c>
      <c r="C10" s="161"/>
      <c r="D10" s="40">
        <v>67680670.280000001</v>
      </c>
      <c r="E10" s="41">
        <f>+[1]mesvsmes!D10</f>
        <v>117783992</v>
      </c>
      <c r="F10" s="42">
        <f t="shared" si="0"/>
        <v>50103321.719999999</v>
      </c>
      <c r="G10" s="161"/>
      <c r="H10" s="40">
        <f>SUM(H7:H9)</f>
        <v>1264049592</v>
      </c>
      <c r="I10" s="40">
        <f>SUM(I7:I9)</f>
        <v>1312412881</v>
      </c>
      <c r="J10" s="42">
        <f t="shared" ref="J10:J15" si="1">SUM(I10-H10)</f>
        <v>48363289</v>
      </c>
      <c r="K10" s="111"/>
    </row>
    <row r="11" spans="1:13" x14ac:dyDescent="0.2">
      <c r="A11" s="159" t="s">
        <v>14</v>
      </c>
      <c r="C11" s="161"/>
      <c r="D11" s="46">
        <f>+E11</f>
        <v>7259415</v>
      </c>
      <c r="E11" s="28">
        <f>+[1]mesvsmes!D11</f>
        <v>7259415</v>
      </c>
      <c r="F11" s="36">
        <f t="shared" si="0"/>
        <v>0</v>
      </c>
      <c r="G11" s="161"/>
      <c r="H11" s="97">
        <f>+I11</f>
        <v>42504202</v>
      </c>
      <c r="I11" s="28">
        <f>+[1]mesvsmes!J11</f>
        <v>42504202</v>
      </c>
      <c r="J11" s="36">
        <f t="shared" si="1"/>
        <v>0</v>
      </c>
      <c r="K11" s="111"/>
      <c r="M11" s="111"/>
    </row>
    <row r="12" spans="1:13" x14ac:dyDescent="0.2">
      <c r="A12" s="159" t="s">
        <v>15</v>
      </c>
      <c r="C12" s="161"/>
      <c r="D12" s="34">
        <f>+E12</f>
        <v>1039270.24</v>
      </c>
      <c r="E12" s="19">
        <f>+[1]mesvsmes!D12</f>
        <v>1039270.24</v>
      </c>
      <c r="F12" s="36">
        <f t="shared" si="0"/>
        <v>0</v>
      </c>
      <c r="G12" s="161"/>
      <c r="H12" s="87">
        <f>+I12</f>
        <v>13700413.02</v>
      </c>
      <c r="I12" s="19">
        <f>+[1]mesvsmes!J12</f>
        <v>13700413.02</v>
      </c>
      <c r="J12" s="50">
        <f t="shared" si="1"/>
        <v>0</v>
      </c>
      <c r="K12" s="163"/>
      <c r="M12" s="111"/>
    </row>
    <row r="13" spans="1:13" x14ac:dyDescent="0.2">
      <c r="A13" s="159" t="s">
        <v>16</v>
      </c>
      <c r="C13" s="161"/>
      <c r="D13" s="34">
        <f>+E13</f>
        <v>13156724.84</v>
      </c>
      <c r="E13" s="35">
        <f>+[1]mesvsmes!D13</f>
        <v>13156724.84</v>
      </c>
      <c r="F13" s="36">
        <f t="shared" si="0"/>
        <v>0</v>
      </c>
      <c r="G13" s="161"/>
      <c r="H13" s="87">
        <f>+I13</f>
        <v>67910511.929999992</v>
      </c>
      <c r="I13" s="35">
        <f>+[1]mesvsmes!J13</f>
        <v>67910511.929999992</v>
      </c>
      <c r="J13" s="50">
        <f t="shared" si="1"/>
        <v>0</v>
      </c>
      <c r="K13" s="111"/>
      <c r="M13" s="111"/>
    </row>
    <row r="14" spans="1:13" x14ac:dyDescent="0.2">
      <c r="A14" s="159" t="s">
        <v>17</v>
      </c>
      <c r="C14" s="161"/>
      <c r="D14" s="34">
        <f>+E14</f>
        <v>9164549.4800000004</v>
      </c>
      <c r="E14" s="19">
        <f>+[1]mesvsmes!D14</f>
        <v>9164549.4800000004</v>
      </c>
      <c r="F14" s="36">
        <f t="shared" si="0"/>
        <v>0</v>
      </c>
      <c r="G14" s="161"/>
      <c r="H14" s="87">
        <f>+I14</f>
        <v>66218240.930000007</v>
      </c>
      <c r="I14" s="19">
        <f>+[1]mesvsmes!J14</f>
        <v>66218240.930000007</v>
      </c>
      <c r="J14" s="36">
        <f t="shared" si="1"/>
        <v>0</v>
      </c>
      <c r="K14" s="163"/>
      <c r="M14" s="111"/>
    </row>
    <row r="15" spans="1:13" x14ac:dyDescent="0.2">
      <c r="B15" s="151" t="s">
        <v>18</v>
      </c>
      <c r="C15" s="161"/>
      <c r="D15" s="40">
        <f>SUM(D11:D14)</f>
        <v>30619959.559999999</v>
      </c>
      <c r="E15" s="41">
        <f>+[1]mesvsmes!D15</f>
        <v>30619959.559999999</v>
      </c>
      <c r="F15" s="42">
        <f t="shared" si="0"/>
        <v>0</v>
      </c>
      <c r="G15" s="161"/>
      <c r="H15" s="40">
        <f>SUM(H11:H14)</f>
        <v>190333367.88</v>
      </c>
      <c r="I15" s="41">
        <f>+[1]mesvsmes!J15</f>
        <v>190333367.88</v>
      </c>
      <c r="J15" s="42">
        <f t="shared" si="1"/>
        <v>0</v>
      </c>
      <c r="K15" s="111"/>
    </row>
    <row r="16" spans="1:13" x14ac:dyDescent="0.2">
      <c r="A16" s="159" t="s">
        <v>19</v>
      </c>
      <c r="C16" s="161"/>
      <c r="D16" s="46">
        <v>5675933.4554801825</v>
      </c>
      <c r="E16" s="32">
        <f>+[1]mesvsmes!D16</f>
        <v>4307139</v>
      </c>
      <c r="F16" s="50">
        <f t="shared" si="0"/>
        <v>-1368794.4554801825</v>
      </c>
      <c r="G16" s="164"/>
      <c r="H16" s="46">
        <f>[2]COMPRES!$H$16+D16</f>
        <v>107480901.85743445</v>
      </c>
      <c r="I16" s="32">
        <f>+[1]mesvsmes!J16</f>
        <v>93546096.769999996</v>
      </c>
      <c r="J16" s="162">
        <f>+I16-H16</f>
        <v>-13934805.087434456</v>
      </c>
      <c r="K16" s="111"/>
      <c r="M16" s="111"/>
    </row>
    <row r="17" spans="1:17" x14ac:dyDescent="0.2">
      <c r="A17" s="159" t="s">
        <v>21</v>
      </c>
      <c r="C17" s="161"/>
      <c r="D17" s="34">
        <v>3460115.6630285247</v>
      </c>
      <c r="E17" s="51">
        <f>+[1]mesvsmes!D17</f>
        <v>2875394.17</v>
      </c>
      <c r="F17" s="50">
        <f t="shared" si="0"/>
        <v>-584721.4930285248</v>
      </c>
      <c r="G17" s="164"/>
      <c r="H17" s="34">
        <f>[2]COMPRES!$H$17+D17</f>
        <v>258834335.52189833</v>
      </c>
      <c r="I17" s="51">
        <f>+[1]mesvsmes!J17</f>
        <v>262702952.20999998</v>
      </c>
      <c r="J17" s="50">
        <f>+I17-H17</f>
        <v>3868616.6881016493</v>
      </c>
      <c r="K17" s="111"/>
      <c r="M17" s="111"/>
    </row>
    <row r="18" spans="1:17" x14ac:dyDescent="0.2">
      <c r="A18" s="159" t="s">
        <v>23</v>
      </c>
      <c r="C18" s="161"/>
      <c r="D18" s="34">
        <v>4932048.8089429298</v>
      </c>
      <c r="E18" s="51">
        <f>+[1]mesvsmes!D18</f>
        <v>3358326</v>
      </c>
      <c r="F18" s="50">
        <f t="shared" si="0"/>
        <v>-1573722.8089429298</v>
      </c>
      <c r="G18" s="164"/>
      <c r="H18" s="34">
        <f>[2]COMPRES!$H$18+D18</f>
        <v>111131195.41309236</v>
      </c>
      <c r="I18" s="51">
        <f>+[1]mesvsmes!J18</f>
        <v>111146965.42999999</v>
      </c>
      <c r="J18" s="50">
        <f t="shared" ref="J18:J23" si="2">+I18-H18</f>
        <v>15770.016907632351</v>
      </c>
      <c r="K18" s="111"/>
      <c r="M18" s="111"/>
    </row>
    <row r="19" spans="1:17" x14ac:dyDescent="0.2">
      <c r="A19" s="159" t="s">
        <v>24</v>
      </c>
      <c r="C19" s="161"/>
      <c r="D19" s="34">
        <v>1381217.3061465062</v>
      </c>
      <c r="E19" s="51">
        <f>+[1]mesvsmes!D19</f>
        <v>1861414</v>
      </c>
      <c r="F19" s="50">
        <f t="shared" si="0"/>
        <v>480196.69385349378</v>
      </c>
      <c r="G19" s="164"/>
      <c r="H19" s="34">
        <f>[2]COMPRES!$H$19+D19</f>
        <v>10542799.443226131</v>
      </c>
      <c r="I19" s="51">
        <f>+[1]mesvsmes!J19</f>
        <v>6844833</v>
      </c>
      <c r="J19" s="50">
        <f t="shared" si="2"/>
        <v>-3697966.4432261307</v>
      </c>
      <c r="K19" s="111"/>
    </row>
    <row r="20" spans="1:17" x14ac:dyDescent="0.2">
      <c r="A20" s="159" t="s">
        <v>26</v>
      </c>
      <c r="C20" s="161"/>
      <c r="D20" s="34">
        <v>353151.22116583236</v>
      </c>
      <c r="E20" s="51">
        <f>+[1]mesvsmes!D20</f>
        <v>461475</v>
      </c>
      <c r="F20" s="50">
        <f t="shared" si="0"/>
        <v>108323.77883416764</v>
      </c>
      <c r="G20" s="164"/>
      <c r="H20" s="34">
        <f>[2]COMPRES!$H$20+D20</f>
        <v>6521093.4703381937</v>
      </c>
      <c r="I20" s="51">
        <f>+[1]mesvsmes!J20</f>
        <v>6368235.1799999997</v>
      </c>
      <c r="J20" s="50">
        <f t="shared" si="2"/>
        <v>-152858.290338194</v>
      </c>
      <c r="K20" s="111"/>
    </row>
    <row r="21" spans="1:17" x14ac:dyDescent="0.2">
      <c r="A21" s="159" t="s">
        <v>27</v>
      </c>
      <c r="C21" s="161"/>
      <c r="D21" s="34">
        <v>1239454.6127727511</v>
      </c>
      <c r="E21" s="51">
        <f>+[1]mesvsmes!D21</f>
        <v>1221768.55</v>
      </c>
      <c r="F21" s="50">
        <f>+E21-D21</f>
        <v>-17686.062772751087</v>
      </c>
      <c r="G21" s="164"/>
      <c r="H21" s="34">
        <f>[2]COMPRES!$H$21+D21</f>
        <v>45250828.301033482</v>
      </c>
      <c r="I21" s="51">
        <f>+[1]mesvsmes!J21</f>
        <v>39271484.359999999</v>
      </c>
      <c r="J21" s="50">
        <f t="shared" si="2"/>
        <v>-5979343.9410334826</v>
      </c>
      <c r="K21" s="111"/>
    </row>
    <row r="22" spans="1:17" x14ac:dyDescent="0.2">
      <c r="A22" s="159" t="s">
        <v>29</v>
      </c>
      <c r="C22" s="161"/>
      <c r="D22" s="34">
        <v>786468.72046282399</v>
      </c>
      <c r="E22" s="51">
        <f>+[1]mesvsmes!D22</f>
        <v>516807.27</v>
      </c>
      <c r="F22" s="50">
        <f t="shared" si="0"/>
        <v>-269661.45046282397</v>
      </c>
      <c r="G22" s="164"/>
      <c r="H22" s="34">
        <f>[2]COMPRES!$H$22+D22</f>
        <v>10489008.229261739</v>
      </c>
      <c r="I22" s="51">
        <f>+[1]mesvsmes!J22</f>
        <v>7006011.8499999996</v>
      </c>
      <c r="J22" s="50">
        <f t="shared" si="2"/>
        <v>-3482996.3792617396</v>
      </c>
      <c r="K22" s="111"/>
    </row>
    <row r="23" spans="1:17" x14ac:dyDescent="0.2">
      <c r="A23" s="159" t="s">
        <v>31</v>
      </c>
      <c r="C23" s="161"/>
      <c r="D23" s="34">
        <v>1487082.5373821405</v>
      </c>
      <c r="E23" s="51">
        <f>+[1]mesvsmes!D23</f>
        <v>2564916.31</v>
      </c>
      <c r="F23" s="50">
        <f t="shared" si="0"/>
        <v>1077833.7726178595</v>
      </c>
      <c r="G23" s="164"/>
      <c r="H23" s="34">
        <f>[2]COMPRES!$H$23+D23</f>
        <v>8814496.4771659616</v>
      </c>
      <c r="I23" s="51">
        <f>+[1]mesvsmes!J23</f>
        <v>10790806.16</v>
      </c>
      <c r="J23" s="50">
        <f t="shared" si="2"/>
        <v>1976309.6828340385</v>
      </c>
    </row>
    <row r="24" spans="1:17" x14ac:dyDescent="0.2">
      <c r="A24" s="159" t="s">
        <v>32</v>
      </c>
      <c r="C24" s="161"/>
      <c r="D24" s="34">
        <v>24181636.443009071</v>
      </c>
      <c r="E24" s="51">
        <f>+[1]mesvsmes!D24</f>
        <v>57684916.409999996</v>
      </c>
      <c r="F24" s="50">
        <f>+E24-D24</f>
        <v>33503279.966990925</v>
      </c>
      <c r="G24" s="164"/>
      <c r="H24" s="34">
        <f>[2]COMPRES!$H$24+D24</f>
        <v>61300022.746166728</v>
      </c>
      <c r="I24" s="51">
        <f>+[1]mesvsmes!J24</f>
        <v>102491874.66</v>
      </c>
      <c r="J24" s="50">
        <f>+I24-H24</f>
        <v>41191851.913833268</v>
      </c>
      <c r="K24" s="111"/>
      <c r="M24" s="111"/>
    </row>
    <row r="25" spans="1:17" x14ac:dyDescent="0.2">
      <c r="B25" s="151" t="s">
        <v>34</v>
      </c>
      <c r="C25" s="161"/>
      <c r="D25" s="40">
        <v>43497108.76839076</v>
      </c>
      <c r="E25" s="41">
        <f>+[1]mesvsmes!D25</f>
        <v>74852156.709999993</v>
      </c>
      <c r="F25" s="42">
        <f>+E25-D25</f>
        <v>31355047.941609234</v>
      </c>
      <c r="G25" s="161"/>
      <c r="H25" s="40">
        <f>SUM(H16:H24)</f>
        <v>620364681.45961738</v>
      </c>
      <c r="I25" s="41">
        <f>+[1]mesvsmes!J25</f>
        <v>640169260.62</v>
      </c>
      <c r="J25" s="123">
        <f>SUM(I25-H25)</f>
        <v>19804579.160382628</v>
      </c>
      <c r="K25" s="111"/>
    </row>
    <row r="26" spans="1:17" x14ac:dyDescent="0.2">
      <c r="C26" s="152" t="s">
        <v>35</v>
      </c>
      <c r="D26" s="56">
        <f>+D10+D15+D25</f>
        <v>141797738.60839075</v>
      </c>
      <c r="E26" s="57">
        <f>+[1]mesvsmes!D26</f>
        <v>223256108.26999998</v>
      </c>
      <c r="F26" s="58">
        <f>+E26-D26</f>
        <v>81458369.661609232</v>
      </c>
      <c r="G26" s="165"/>
      <c r="H26" s="56">
        <f>SUM(H25,H15,H10)</f>
        <v>2074747641.3396173</v>
      </c>
      <c r="I26" s="57">
        <f>+[1]mesvsmes!J26</f>
        <v>2142915509.5</v>
      </c>
      <c r="J26" s="58">
        <f>SUM(I26-H26)</f>
        <v>68167868.160382748</v>
      </c>
      <c r="K26" s="111"/>
      <c r="M26" s="166"/>
    </row>
    <row r="27" spans="1:17" x14ac:dyDescent="0.2">
      <c r="C27" s="152"/>
      <c r="D27" s="62"/>
      <c r="E27" s="63"/>
      <c r="F27" s="64"/>
      <c r="G27" s="161"/>
      <c r="H27" s="62"/>
      <c r="I27" s="63"/>
      <c r="J27" s="64"/>
      <c r="K27" s="111"/>
    </row>
    <row r="28" spans="1:17" x14ac:dyDescent="0.2">
      <c r="B28" s="160" t="s">
        <v>36</v>
      </c>
      <c r="C28" s="152"/>
      <c r="D28" s="67">
        <v>2492228.3852451812</v>
      </c>
      <c r="E28" s="68">
        <f>+[1]mesvsmes!D28</f>
        <v>2303312.15</v>
      </c>
      <c r="F28" s="69">
        <f>+E28-D28</f>
        <v>-188916.23524518125</v>
      </c>
      <c r="G28" s="161"/>
      <c r="H28" s="67">
        <f>[2]COMPRES!$H$28+D28</f>
        <v>75344367</v>
      </c>
      <c r="I28" s="68">
        <f>+[1]mesvsmes!J28</f>
        <v>73441348.960000008</v>
      </c>
      <c r="J28" s="69">
        <f>+I28-H28</f>
        <v>-1903018.0399999917</v>
      </c>
      <c r="K28" s="111"/>
    </row>
    <row r="29" spans="1:17" x14ac:dyDescent="0.2">
      <c r="C29" s="152" t="s">
        <v>37</v>
      </c>
      <c r="D29" s="56">
        <f>+D26-D28</f>
        <v>139305510.22314557</v>
      </c>
      <c r="E29" s="57">
        <f>+E26-E28</f>
        <v>220952796.11999997</v>
      </c>
      <c r="F29" s="58">
        <f>+E29-D29</f>
        <v>81647285.896854401</v>
      </c>
      <c r="G29" s="165"/>
      <c r="H29" s="56">
        <f>SUM(H26-H28)</f>
        <v>1999403274.3396173</v>
      </c>
      <c r="I29" s="57">
        <f>+[1]mesvsmes!J29</f>
        <v>2069474160.54</v>
      </c>
      <c r="J29" s="58">
        <f>+I29-H29</f>
        <v>70070886.20038271</v>
      </c>
      <c r="K29" s="163"/>
    </row>
    <row r="30" spans="1:17" x14ac:dyDescent="0.2">
      <c r="A30" s="167" t="s">
        <v>38</v>
      </c>
      <c r="C30" s="161"/>
      <c r="D30" s="72"/>
      <c r="E30" s="73"/>
      <c r="F30" s="20"/>
      <c r="G30" s="161"/>
      <c r="H30" s="18"/>
      <c r="I30" s="19"/>
      <c r="J30" s="23"/>
      <c r="K30" s="168"/>
    </row>
    <row r="31" spans="1:17" x14ac:dyDescent="0.2">
      <c r="A31" s="155" t="s">
        <v>39</v>
      </c>
      <c r="B31" s="169"/>
      <c r="C31" s="170"/>
      <c r="D31" s="171"/>
      <c r="E31" s="19"/>
      <c r="F31" s="20"/>
      <c r="G31" s="161"/>
      <c r="H31" s="18"/>
      <c r="I31" s="19"/>
      <c r="J31" s="23"/>
      <c r="K31" s="168"/>
    </row>
    <row r="32" spans="1:17" x14ac:dyDescent="0.2">
      <c r="A32" s="159" t="s">
        <v>40</v>
      </c>
      <c r="C32" s="161"/>
      <c r="D32" s="76">
        <v>133385417.47142099</v>
      </c>
      <c r="E32" s="52">
        <f>+[1]mesvsmes!D32</f>
        <v>156436859.25</v>
      </c>
      <c r="F32" s="77">
        <f>+E32-D32</f>
        <v>23051441.778579012</v>
      </c>
      <c r="G32" s="164"/>
      <c r="H32" s="46">
        <f>[2]COMPRES!$H$32+D32</f>
        <v>1280945815.9454606</v>
      </c>
      <c r="I32" s="32">
        <f>+[1]mesvsmes!J32</f>
        <v>1345100404.6199999</v>
      </c>
      <c r="J32" s="79">
        <f>+I32-H32</f>
        <v>64154588.674539328</v>
      </c>
      <c r="P32" s="118"/>
      <c r="Q32" s="111"/>
    </row>
    <row r="33" spans="1:17" x14ac:dyDescent="0.2">
      <c r="A33" s="159" t="s">
        <v>42</v>
      </c>
      <c r="C33" s="161"/>
      <c r="D33" s="80">
        <v>37814595.645272002</v>
      </c>
      <c r="E33" s="52">
        <f>+[1]mesvsmes!D33</f>
        <v>36752407.799999997</v>
      </c>
      <c r="F33" s="50">
        <f>+E33-D33</f>
        <v>-1062187.8452720046</v>
      </c>
      <c r="G33" s="164"/>
      <c r="H33" s="34">
        <f>[2]COMPRES!$H$33+D33</f>
        <v>238061687.03724396</v>
      </c>
      <c r="I33" s="52">
        <f>+[1]mesvsmes!J33</f>
        <v>257896425.59999996</v>
      </c>
      <c r="J33" s="82">
        <f>+I33-H33</f>
        <v>19834738.562756002</v>
      </c>
      <c r="K33" s="111"/>
      <c r="P33" s="118"/>
      <c r="Q33" s="111"/>
    </row>
    <row r="34" spans="1:17" x14ac:dyDescent="0.2">
      <c r="A34" s="159" t="s">
        <v>44</v>
      </c>
      <c r="C34" s="161"/>
      <c r="D34" s="80">
        <v>11006596.2204351</v>
      </c>
      <c r="E34" s="52">
        <f>+[1]mesvsmes!D34</f>
        <v>12667382.74</v>
      </c>
      <c r="F34" s="50">
        <f>+E34-D34</f>
        <v>1660786.5195649005</v>
      </c>
      <c r="G34" s="164"/>
      <c r="H34" s="34">
        <f>[2]COMPRES!$H$34+D34</f>
        <v>89196564.288963258</v>
      </c>
      <c r="I34" s="35">
        <f>+[1]mesvsmes!J34</f>
        <v>94804507.819999993</v>
      </c>
      <c r="J34" s="82">
        <f>+I34-H34</f>
        <v>5607943.5310367346</v>
      </c>
      <c r="P34" s="118"/>
      <c r="Q34" s="111"/>
    </row>
    <row r="35" spans="1:17" x14ac:dyDescent="0.2">
      <c r="A35" s="159" t="s">
        <v>46</v>
      </c>
      <c r="C35" s="161"/>
      <c r="D35" s="80">
        <v>5606199.3935153075</v>
      </c>
      <c r="E35" s="52">
        <f>+[1]mesvsmes!D35</f>
        <v>3448618.13</v>
      </c>
      <c r="F35" s="50">
        <f>+E35-D35</f>
        <v>-2157581.2635153076</v>
      </c>
      <c r="G35" s="164"/>
      <c r="H35" s="34">
        <f>[2]COMPRES!$H$35+D35</f>
        <v>45906145.465450734</v>
      </c>
      <c r="I35" s="52">
        <f>+[1]mesvsmes!J35</f>
        <v>38166376.32</v>
      </c>
      <c r="J35" s="82">
        <f>+I35-H35</f>
        <v>-7739769.1454507336</v>
      </c>
      <c r="P35" s="118"/>
      <c r="Q35" s="111"/>
    </row>
    <row r="36" spans="1:17" x14ac:dyDescent="0.2">
      <c r="A36" s="159" t="s">
        <v>48</v>
      </c>
      <c r="C36" s="161"/>
      <c r="D36" s="80">
        <v>8901604.4895146471</v>
      </c>
      <c r="E36" s="52">
        <f>+[1]mesvsmes!D36</f>
        <v>5487620.29</v>
      </c>
      <c r="F36" s="50">
        <f>+E36-D36</f>
        <v>-3413984.199514647</v>
      </c>
      <c r="G36" s="164"/>
      <c r="H36" s="34">
        <f>[2]COMPRES!$H$36+D36</f>
        <v>59863699.029294163</v>
      </c>
      <c r="I36" s="52">
        <f>+[1]mesvsmes!J36</f>
        <v>44108545.310000002</v>
      </c>
      <c r="J36" s="82">
        <f>+I36-H36</f>
        <v>-15755153.719294161</v>
      </c>
      <c r="P36" s="118"/>
      <c r="Q36" s="111"/>
    </row>
    <row r="37" spans="1:17" x14ac:dyDescent="0.2">
      <c r="B37" s="151" t="s">
        <v>50</v>
      </c>
      <c r="C37" s="161"/>
      <c r="D37" s="40">
        <v>196714413.22015807</v>
      </c>
      <c r="E37" s="41">
        <f>+[1]mesvsmes!D37</f>
        <v>214792887.21000001</v>
      </c>
      <c r="F37" s="42">
        <f>SUM(E37-D37)</f>
        <v>18078473.989841938</v>
      </c>
      <c r="G37" s="161"/>
      <c r="H37" s="40">
        <f>SUM(H32:H36)</f>
        <v>1713973911.766413</v>
      </c>
      <c r="I37" s="41">
        <f>+[1]mesvsmes!J37</f>
        <v>1780076259.6699996</v>
      </c>
      <c r="J37" s="55">
        <f>SUM(I37-H37)</f>
        <v>66102347.903586626</v>
      </c>
      <c r="P37" s="118"/>
      <c r="Q37" s="111"/>
    </row>
    <row r="38" spans="1:17" x14ac:dyDescent="0.2">
      <c r="A38" s="159" t="s">
        <v>51</v>
      </c>
      <c r="C38" s="161"/>
      <c r="D38" s="83">
        <v>142049.97664803753</v>
      </c>
      <c r="E38" s="84">
        <f>+[1]mesvsmes!D38</f>
        <v>219177.21</v>
      </c>
      <c r="F38" s="85">
        <f t="shared" ref="F38:F45" si="3">+E38-D38</f>
        <v>77127.233351962466</v>
      </c>
      <c r="G38" s="161"/>
      <c r="H38" s="97">
        <f>[2]COMPRES!$H$38+D38</f>
        <v>996514.49253993807</v>
      </c>
      <c r="I38" s="28">
        <f>+[1]mesvsmes!J38</f>
        <v>1784762.6199999999</v>
      </c>
      <c r="J38" s="172">
        <f t="shared" ref="J38:J45" si="4">+I38-H38</f>
        <v>788248.12746006181</v>
      </c>
    </row>
    <row r="39" spans="1:17" x14ac:dyDescent="0.2">
      <c r="A39" s="159" t="s">
        <v>52</v>
      </c>
      <c r="C39" s="161"/>
      <c r="D39" s="18">
        <v>41860.534535878367</v>
      </c>
      <c r="E39" s="19">
        <f>+[1]mesvsmes!D39</f>
        <v>103468.93</v>
      </c>
      <c r="F39" s="36">
        <f t="shared" si="3"/>
        <v>61608.395464121626</v>
      </c>
      <c r="G39" s="161"/>
      <c r="H39" s="87">
        <f>[2]COMPRES!$H$39+D39</f>
        <v>1471742.624781542</v>
      </c>
      <c r="I39" s="35">
        <f>+[1]mesvsmes!J39</f>
        <v>957954.88000000012</v>
      </c>
      <c r="J39" s="53">
        <f t="shared" si="4"/>
        <v>-513787.74478154187</v>
      </c>
    </row>
    <row r="40" spans="1:17" x14ac:dyDescent="0.2">
      <c r="A40" s="159" t="s">
        <v>53</v>
      </c>
      <c r="C40" s="161"/>
      <c r="D40" s="18">
        <v>914327.5498228356</v>
      </c>
      <c r="E40" s="19">
        <f>+[1]mesvsmes!D40</f>
        <v>704270.33</v>
      </c>
      <c r="F40" s="36">
        <f t="shared" si="3"/>
        <v>-210057.21982283564</v>
      </c>
      <c r="G40" s="161"/>
      <c r="H40" s="87">
        <f>[2]COMPRES!$H$40+D40</f>
        <v>4246239.7788681388</v>
      </c>
      <c r="I40" s="35">
        <f>+[1]mesvsmes!J40</f>
        <v>4814425.71</v>
      </c>
      <c r="J40" s="53">
        <f t="shared" si="4"/>
        <v>568185.93113186117</v>
      </c>
    </row>
    <row r="41" spans="1:17" x14ac:dyDescent="0.2">
      <c r="A41" s="159" t="s">
        <v>54</v>
      </c>
      <c r="C41" s="161"/>
      <c r="D41" s="18">
        <v>80281.503540183316</v>
      </c>
      <c r="E41" s="19">
        <f>+[1]mesvsmes!D41</f>
        <v>97114.43</v>
      </c>
      <c r="F41" s="36">
        <f t="shared" si="3"/>
        <v>16832.926459816677</v>
      </c>
      <c r="G41" s="161"/>
      <c r="H41" s="87">
        <f>[2]COMPRES!$H$41+D41</f>
        <v>555523.07298291894</v>
      </c>
      <c r="I41" s="35">
        <f>+[1]mesvsmes!J41</f>
        <v>590757.79</v>
      </c>
      <c r="J41" s="53">
        <f t="shared" si="4"/>
        <v>35234.7170170811</v>
      </c>
    </row>
    <row r="42" spans="1:17" x14ac:dyDescent="0.2">
      <c r="A42" s="159" t="s">
        <v>55</v>
      </c>
      <c r="C42" s="161"/>
      <c r="D42" s="18">
        <v>418949.61856729561</v>
      </c>
      <c r="E42" s="19">
        <f>+[1]mesvsmes!D42</f>
        <v>604822.72</v>
      </c>
      <c r="F42" s="36">
        <f t="shared" si="3"/>
        <v>185873.10143270437</v>
      </c>
      <c r="G42" s="161"/>
      <c r="H42" s="87">
        <f>[2]COMPRES!$H$42+D42</f>
        <v>1006318.9867309565</v>
      </c>
      <c r="I42" s="35">
        <f>+[1]mesvsmes!J42</f>
        <v>941134.81</v>
      </c>
      <c r="J42" s="53">
        <f t="shared" si="4"/>
        <v>-65184.176730956417</v>
      </c>
    </row>
    <row r="43" spans="1:17" x14ac:dyDescent="0.2">
      <c r="A43" s="159" t="s">
        <v>56</v>
      </c>
      <c r="C43" s="161"/>
      <c r="D43" s="87">
        <v>0</v>
      </c>
      <c r="E43" s="35">
        <f>+[1]mesvsmes!D43</f>
        <v>0</v>
      </c>
      <c r="F43" s="36">
        <f t="shared" si="3"/>
        <v>0</v>
      </c>
      <c r="G43" s="130"/>
      <c r="H43" s="87">
        <f>[2]COMPRES!$H$43+D43</f>
        <v>0</v>
      </c>
      <c r="I43" s="35">
        <f>+[1]mesvsmes!J43</f>
        <v>0</v>
      </c>
      <c r="J43" s="53">
        <f t="shared" si="4"/>
        <v>0</v>
      </c>
    </row>
    <row r="44" spans="1:17" x14ac:dyDescent="0.2">
      <c r="A44" s="159" t="s">
        <v>57</v>
      </c>
      <c r="C44" s="161"/>
      <c r="D44" s="18">
        <v>85257.903059152581</v>
      </c>
      <c r="E44" s="19">
        <f>+[3]mesvsmes!D44</f>
        <v>69.3</v>
      </c>
      <c r="F44" s="36">
        <f t="shared" si="3"/>
        <v>-85188.603059152578</v>
      </c>
      <c r="G44" s="161"/>
      <c r="H44" s="87">
        <f>[2]COMPRES!$H$44+D44</f>
        <v>335997.64569202624</v>
      </c>
      <c r="I44" s="35">
        <f>+[1]mesvsmes!J44</f>
        <v>186888.40999999997</v>
      </c>
      <c r="J44" s="53">
        <f t="shared" si="4"/>
        <v>-149109.23569202627</v>
      </c>
    </row>
    <row r="45" spans="1:17" x14ac:dyDescent="0.2">
      <c r="A45" s="159" t="s">
        <v>58</v>
      </c>
      <c r="C45" s="161"/>
      <c r="D45" s="18">
        <v>5222.5187459880117</v>
      </c>
      <c r="E45" s="89">
        <f>+[1]mesvsmes!D45</f>
        <v>85788.7</v>
      </c>
      <c r="F45" s="36">
        <f t="shared" si="3"/>
        <v>80566.181254011986</v>
      </c>
      <c r="G45" s="161"/>
      <c r="H45" s="87">
        <f>[2]COMPRES!$H$45+D45</f>
        <v>22249.398404480737</v>
      </c>
      <c r="I45" s="35">
        <f>+[1]mesvsmes!J45</f>
        <v>249378.62</v>
      </c>
      <c r="J45" s="53">
        <f t="shared" si="4"/>
        <v>227129.22159551925</v>
      </c>
    </row>
    <row r="46" spans="1:17" x14ac:dyDescent="0.2">
      <c r="B46" s="151" t="s">
        <v>59</v>
      </c>
      <c r="C46" s="161"/>
      <c r="D46" s="40">
        <v>1687949.604919371</v>
      </c>
      <c r="E46" s="90">
        <f>+[1]mesvsmes!D46</f>
        <v>1848180.69</v>
      </c>
      <c r="F46" s="42">
        <f>SUM(E46-D46)</f>
        <v>160231.08508062898</v>
      </c>
      <c r="G46" s="161"/>
      <c r="H46" s="40">
        <f>SUM(H38:H45)</f>
        <v>8634586.0000000019</v>
      </c>
      <c r="I46" s="90">
        <f>+[1]mesvsmes!J46</f>
        <v>9525303.8399999999</v>
      </c>
      <c r="J46" s="55">
        <f t="shared" ref="J46:J60" si="5">SUM(I46-H46)</f>
        <v>890717.83999999799</v>
      </c>
    </row>
    <row r="47" spans="1:17" x14ac:dyDescent="0.2">
      <c r="C47" s="152" t="s">
        <v>60</v>
      </c>
      <c r="D47" s="91">
        <v>198402362.82507744</v>
      </c>
      <c r="E47" s="90">
        <f>+[1]mesvsmes!D47</f>
        <v>216641067.90000001</v>
      </c>
      <c r="F47" s="42">
        <f>SUM(E47-D47)</f>
        <v>18238705.074922562</v>
      </c>
      <c r="G47" s="161"/>
      <c r="H47" s="91">
        <f>SUM(H46,H37)</f>
        <v>1722608497.766413</v>
      </c>
      <c r="I47" s="90">
        <f>+[1]mesvsmes!J47</f>
        <v>1789601563.5099995</v>
      </c>
      <c r="J47" s="55">
        <f t="shared" si="5"/>
        <v>66993065.74358654</v>
      </c>
    </row>
    <row r="48" spans="1:17" x14ac:dyDescent="0.2">
      <c r="A48" s="159" t="s">
        <v>61</v>
      </c>
      <c r="C48" s="161"/>
      <c r="D48" s="92">
        <v>0</v>
      </c>
      <c r="E48" s="93">
        <f>+[1]mesvsmes!D48</f>
        <v>-16570.02</v>
      </c>
      <c r="F48" s="77">
        <f>+E48-D48</f>
        <v>-16570.02</v>
      </c>
      <c r="G48" s="161"/>
      <c r="H48" s="97">
        <f>[2]COMPRES!$H$48+D48</f>
        <v>29914.448434774</v>
      </c>
      <c r="I48" s="35">
        <f>+[1]mesvsmes!J48</f>
        <v>846803.8</v>
      </c>
      <c r="J48" s="172">
        <f t="shared" si="5"/>
        <v>816889.3515652261</v>
      </c>
    </row>
    <row r="49" spans="1:11" x14ac:dyDescent="0.2">
      <c r="A49" s="159" t="s">
        <v>62</v>
      </c>
      <c r="C49" s="161"/>
      <c r="D49" s="37">
        <v>0</v>
      </c>
      <c r="E49" s="52">
        <f>+[1]mesvsmes!D49</f>
        <v>0</v>
      </c>
      <c r="F49" s="50">
        <f>+E49-D49</f>
        <v>0</v>
      </c>
      <c r="G49" s="161"/>
      <c r="H49" s="87">
        <f>[2]COMPRES!$H$49+D49</f>
        <v>144018.20761748048</v>
      </c>
      <c r="I49" s="35">
        <f>+[1]mesvsmes!J49</f>
        <v>179201.7</v>
      </c>
      <c r="J49" s="173">
        <f t="shared" si="5"/>
        <v>35183.492382519529</v>
      </c>
    </row>
    <row r="50" spans="1:11" x14ac:dyDescent="0.2">
      <c r="A50" s="159" t="s">
        <v>63</v>
      </c>
      <c r="C50" s="161"/>
      <c r="D50" s="37">
        <v>0</v>
      </c>
      <c r="E50" s="52">
        <f>+[1]mesvsmes!D50</f>
        <v>0</v>
      </c>
      <c r="F50" s="50">
        <f>+E50-D50</f>
        <v>0</v>
      </c>
      <c r="G50" s="161"/>
      <c r="H50" s="87">
        <f>[2]COMPRES!$H$50+D50</f>
        <v>0</v>
      </c>
      <c r="I50" s="35">
        <f>+[1]mesvsmes!J50</f>
        <v>3030139.5</v>
      </c>
      <c r="J50" s="174">
        <f t="shared" si="5"/>
        <v>3030139.5</v>
      </c>
    </row>
    <row r="51" spans="1:11" x14ac:dyDescent="0.2">
      <c r="A51" s="159" t="s">
        <v>64</v>
      </c>
      <c r="C51" s="161"/>
      <c r="D51" s="37">
        <v>2659824.3200229295</v>
      </c>
      <c r="E51" s="52">
        <f>+[1]mesvsmes!D51</f>
        <v>72675401.260000005</v>
      </c>
      <c r="F51" s="36">
        <f>+E51-D51</f>
        <v>70015576.93997708</v>
      </c>
      <c r="G51" s="161"/>
      <c r="H51" s="87">
        <f>[2]COMPRES!$H$51+D51</f>
        <v>47042544.322482407</v>
      </c>
      <c r="I51" s="35">
        <f>+[1]mesvsmes!J51</f>
        <v>134216888.66000003</v>
      </c>
      <c r="J51" s="82">
        <f t="shared" si="5"/>
        <v>87174344.337517619</v>
      </c>
      <c r="K51" s="111"/>
    </row>
    <row r="52" spans="1:11" x14ac:dyDescent="0.2">
      <c r="A52" s="159" t="s">
        <v>66</v>
      </c>
      <c r="C52" s="161"/>
      <c r="D52" s="37">
        <v>37942.687492483623</v>
      </c>
      <c r="E52" s="52">
        <f>+[1]mesvsmes!D52</f>
        <v>-5934.46</v>
      </c>
      <c r="F52" s="36">
        <f t="shared" ref="F52:F57" si="6">+E52-D52</f>
        <v>-43877.147492483622</v>
      </c>
      <c r="G52" s="161"/>
      <c r="H52" s="87">
        <f>[2]COMPRES!$H$52+D52</f>
        <v>134585.31634082957</v>
      </c>
      <c r="I52" s="35">
        <f>+[1]mesvsmes!J52</f>
        <v>264081.25</v>
      </c>
      <c r="J52" s="82">
        <f t="shared" si="5"/>
        <v>129495.93365917043</v>
      </c>
    </row>
    <row r="53" spans="1:11" x14ac:dyDescent="0.2">
      <c r="A53" s="159" t="s">
        <v>67</v>
      </c>
      <c r="C53" s="161"/>
      <c r="D53" s="37">
        <v>897457.01621929416</v>
      </c>
      <c r="E53" s="52">
        <f>+[1]mesvsmes!D53</f>
        <v>-280403.52</v>
      </c>
      <c r="F53" s="36">
        <f t="shared" si="6"/>
        <v>-1177860.5362192942</v>
      </c>
      <c r="G53" s="161"/>
      <c r="H53" s="87">
        <f>[2]COMPRES!$H$53+D53</f>
        <v>5240578.0736944526</v>
      </c>
      <c r="I53" s="35">
        <f>+[1]mesvsmes!J53</f>
        <v>7753947.3100000005</v>
      </c>
      <c r="J53" s="82">
        <f t="shared" si="5"/>
        <v>2513369.2363055479</v>
      </c>
      <c r="K53" s="111"/>
    </row>
    <row r="54" spans="1:11" x14ac:dyDescent="0.2">
      <c r="A54" s="159" t="s">
        <v>69</v>
      </c>
      <c r="C54" s="161"/>
      <c r="D54" s="37">
        <v>1018719</v>
      </c>
      <c r="E54" s="52">
        <f>+[1]mesvsmes!D54</f>
        <v>1212227.83</v>
      </c>
      <c r="F54" s="36">
        <f t="shared" si="6"/>
        <v>193508.83000000007</v>
      </c>
      <c r="G54" s="161"/>
      <c r="H54" s="87">
        <f>[2]COMPRES!$H$54+D54</f>
        <v>7983959.4441255787</v>
      </c>
      <c r="I54" s="35">
        <f>+[1]mesvsmes!J54</f>
        <v>6742868.209999999</v>
      </c>
      <c r="J54" s="82">
        <f t="shared" si="5"/>
        <v>-1241091.2341255797</v>
      </c>
      <c r="K54" s="111"/>
    </row>
    <row r="55" spans="1:11" x14ac:dyDescent="0.2">
      <c r="A55" s="159" t="s">
        <v>70</v>
      </c>
      <c r="C55" s="161"/>
      <c r="D55" s="37">
        <v>0</v>
      </c>
      <c r="E55" s="52">
        <f>+[1]mesvsmes!D55</f>
        <v>1260937</v>
      </c>
      <c r="F55" s="36">
        <f t="shared" si="6"/>
        <v>1260937</v>
      </c>
      <c r="G55" s="161"/>
      <c r="H55" s="87">
        <f>[2]COMPRES!$H$55+D55</f>
        <v>1407595.5529149435</v>
      </c>
      <c r="I55" s="35">
        <f>+[1]mesvsmes!J55</f>
        <v>5267585.01</v>
      </c>
      <c r="J55" s="82">
        <f t="shared" si="5"/>
        <v>3859989.4570850562</v>
      </c>
      <c r="K55" s="111"/>
    </row>
    <row r="56" spans="1:11" x14ac:dyDescent="0.2">
      <c r="A56" s="159" t="s">
        <v>72</v>
      </c>
      <c r="C56" s="161"/>
      <c r="D56" s="37">
        <v>202385.37979155243</v>
      </c>
      <c r="E56" s="52">
        <f>+[1]mesvsmes!D56</f>
        <v>-145923.1</v>
      </c>
      <c r="F56" s="36">
        <f t="shared" si="6"/>
        <v>-348308.47979155241</v>
      </c>
      <c r="G56" s="161"/>
      <c r="H56" s="87">
        <f>[2]COMPRES!$H$56+D56</f>
        <v>3365393.3995453725</v>
      </c>
      <c r="I56" s="35">
        <f>+[1]mesvsmes!J56</f>
        <v>2723970.7199999997</v>
      </c>
      <c r="J56" s="82">
        <f t="shared" si="5"/>
        <v>-641422.67954537272</v>
      </c>
      <c r="K56" s="111"/>
    </row>
    <row r="57" spans="1:11" x14ac:dyDescent="0.2">
      <c r="A57" s="159" t="s">
        <v>104</v>
      </c>
      <c r="C57" s="161"/>
      <c r="D57" s="37">
        <v>190429.16505212014</v>
      </c>
      <c r="E57" s="52">
        <f>+[1]mesvsmes!D57</f>
        <v>1023406</v>
      </c>
      <c r="F57" s="36">
        <f t="shared" si="6"/>
        <v>832976.83494787989</v>
      </c>
      <c r="G57" s="161"/>
      <c r="H57" s="87">
        <f>[2]COMPRES!$H$57+D57</f>
        <v>865639.734690196</v>
      </c>
      <c r="I57" s="35">
        <f>+[1]mesvsmes!J57</f>
        <v>670179</v>
      </c>
      <c r="J57" s="82">
        <f t="shared" si="5"/>
        <v>-195460.734690196</v>
      </c>
      <c r="K57" s="111"/>
    </row>
    <row r="58" spans="1:11" x14ac:dyDescent="0.2">
      <c r="A58" s="159" t="s">
        <v>74</v>
      </c>
      <c r="C58" s="161"/>
      <c r="D58" s="37">
        <v>0</v>
      </c>
      <c r="E58" s="52">
        <f>+[1]mesvsmes!D58</f>
        <v>0</v>
      </c>
      <c r="F58" s="36">
        <f>+E58-D58</f>
        <v>0</v>
      </c>
      <c r="G58" s="161"/>
      <c r="H58" s="87">
        <f>[2]COMPRES!$H$58+D58</f>
        <v>0</v>
      </c>
      <c r="I58" s="35">
        <f>+[1]mesvsmes!J58</f>
        <v>0</v>
      </c>
      <c r="J58" s="53">
        <f t="shared" si="5"/>
        <v>0</v>
      </c>
      <c r="K58" s="111"/>
    </row>
    <row r="59" spans="1:11" x14ac:dyDescent="0.2">
      <c r="B59" s="151" t="s">
        <v>75</v>
      </c>
      <c r="C59" s="161"/>
      <c r="D59" s="91">
        <v>5006757.5685783802</v>
      </c>
      <c r="E59" s="90">
        <f>+[1]mesvsmes!D59</f>
        <v>75723141.990000024</v>
      </c>
      <c r="F59" s="42">
        <f>SUM(E59-D59)</f>
        <v>70716384.421421647</v>
      </c>
      <c r="G59" s="161"/>
      <c r="H59" s="91">
        <f>SUM(H48:H58)</f>
        <v>66214228.499846034</v>
      </c>
      <c r="I59" s="90">
        <f>+[1]mesvsmes!J59</f>
        <v>161695666.16000003</v>
      </c>
      <c r="J59" s="55">
        <f t="shared" si="5"/>
        <v>95481437.660153985</v>
      </c>
    </row>
    <row r="60" spans="1:11" x14ac:dyDescent="0.2">
      <c r="C60" s="152" t="s">
        <v>76</v>
      </c>
      <c r="D60" s="95">
        <v>203409120.39365584</v>
      </c>
      <c r="E60" s="96">
        <f>+[1]mesvsmes!D60</f>
        <v>292364209.89000005</v>
      </c>
      <c r="F60" s="58">
        <f>SUM(E60-D60)</f>
        <v>88955089.496344209</v>
      </c>
      <c r="G60" s="165"/>
      <c r="H60" s="95">
        <f>SUM(H47+H59)</f>
        <v>1788822726.266259</v>
      </c>
      <c r="I60" s="96">
        <f>+[1]mesvsmes!J60</f>
        <v>1951297229.6699996</v>
      </c>
      <c r="J60" s="175">
        <f t="shared" si="5"/>
        <v>162474503.40374064</v>
      </c>
    </row>
    <row r="61" spans="1:11" x14ac:dyDescent="0.2">
      <c r="A61" s="167" t="s">
        <v>77</v>
      </c>
      <c r="C61" s="152"/>
      <c r="D61" s="18"/>
      <c r="E61" s="73"/>
      <c r="F61" s="20"/>
      <c r="G61" s="161"/>
      <c r="H61" s="18"/>
      <c r="I61" s="73"/>
      <c r="J61" s="176"/>
    </row>
    <row r="62" spans="1:11" x14ac:dyDescent="0.2">
      <c r="A62" s="159" t="s">
        <v>40</v>
      </c>
      <c r="C62" s="152"/>
      <c r="D62" s="97">
        <f>+E62</f>
        <v>514153.17</v>
      </c>
      <c r="E62" s="28">
        <f>+[1]mesvsmes!D62</f>
        <v>514153.17</v>
      </c>
      <c r="F62" s="29">
        <f>SUM(E62-D62)</f>
        <v>0</v>
      </c>
      <c r="G62" s="161"/>
      <c r="H62" s="97">
        <f t="shared" ref="H62:H67" si="7">+I62</f>
        <v>82093788.689999998</v>
      </c>
      <c r="I62" s="28">
        <f>+[1]mesvsmes!J62</f>
        <v>82093788.689999998</v>
      </c>
      <c r="J62" s="162">
        <f t="shared" ref="J62:J68" si="8">SUM(I62-H62)</f>
        <v>0</v>
      </c>
    </row>
    <row r="63" spans="1:11" x14ac:dyDescent="0.2">
      <c r="A63" s="159" t="s">
        <v>42</v>
      </c>
      <c r="C63" s="152"/>
      <c r="D63" s="87">
        <f>+E63</f>
        <v>9700226.5899999999</v>
      </c>
      <c r="E63" s="35">
        <f>+[1]mesvsmes!D63</f>
        <v>9700226.5899999999</v>
      </c>
      <c r="F63" s="36">
        <f t="shared" ref="F63:F71" si="9">SUM(E63-D63)</f>
        <v>0</v>
      </c>
      <c r="G63" s="161"/>
      <c r="H63" s="87">
        <f t="shared" si="7"/>
        <v>33963411.519999996</v>
      </c>
      <c r="I63" s="19">
        <f>+[1]mesvsmes!J63</f>
        <v>33963411.519999996</v>
      </c>
      <c r="J63" s="50">
        <f t="shared" si="8"/>
        <v>0</v>
      </c>
      <c r="K63" s="111"/>
    </row>
    <row r="64" spans="1:11" x14ac:dyDescent="0.2">
      <c r="A64" s="159" t="s">
        <v>78</v>
      </c>
      <c r="C64" s="152"/>
      <c r="D64" s="87">
        <f>+E64</f>
        <v>2482199.06</v>
      </c>
      <c r="E64" s="35">
        <f>+[1]mesvsmes!D64</f>
        <v>2482199.06</v>
      </c>
      <c r="F64" s="36">
        <f t="shared" si="9"/>
        <v>0</v>
      </c>
      <c r="G64" s="161"/>
      <c r="H64" s="87">
        <f t="shared" si="7"/>
        <v>15922272.200000001</v>
      </c>
      <c r="I64" s="19">
        <f>+[1]mesvsmes!J64</f>
        <v>15922272.200000001</v>
      </c>
      <c r="J64" s="50">
        <f t="shared" si="8"/>
        <v>0</v>
      </c>
    </row>
    <row r="65" spans="1:11" x14ac:dyDescent="0.2">
      <c r="A65" s="159" t="s">
        <v>46</v>
      </c>
      <c r="C65" s="152"/>
      <c r="D65" s="87">
        <f>+E65</f>
        <v>2905102.94</v>
      </c>
      <c r="E65" s="35">
        <f>+[1]mesvsmes!D65</f>
        <v>2905102.94</v>
      </c>
      <c r="F65" s="36">
        <f t="shared" si="9"/>
        <v>0</v>
      </c>
      <c r="G65" s="161"/>
      <c r="H65" s="87">
        <f t="shared" si="7"/>
        <v>9901656.7899999991</v>
      </c>
      <c r="I65" s="19">
        <f>+[1]mesvsmes!J65</f>
        <v>9901656.7899999991</v>
      </c>
      <c r="J65" s="50">
        <f t="shared" si="8"/>
        <v>0</v>
      </c>
    </row>
    <row r="66" spans="1:11" x14ac:dyDescent="0.2">
      <c r="A66" s="159" t="s">
        <v>79</v>
      </c>
      <c r="C66" s="152"/>
      <c r="D66" s="87">
        <v>0</v>
      </c>
      <c r="E66" s="35">
        <f>+[1]mesvsmes!D66</f>
        <v>0</v>
      </c>
      <c r="F66" s="36">
        <f t="shared" si="9"/>
        <v>0</v>
      </c>
      <c r="G66" s="161"/>
      <c r="H66" s="87">
        <f t="shared" si="7"/>
        <v>0</v>
      </c>
      <c r="I66" s="19">
        <f>+[1]mesvsmes!J66</f>
        <v>0</v>
      </c>
      <c r="J66" s="50">
        <f t="shared" si="8"/>
        <v>0</v>
      </c>
    </row>
    <row r="67" spans="1:11" x14ac:dyDescent="0.2">
      <c r="A67" s="159" t="s">
        <v>48</v>
      </c>
      <c r="C67" s="152"/>
      <c r="D67" s="87">
        <f>+E67</f>
        <v>10275858.68</v>
      </c>
      <c r="E67" s="35">
        <f>+[1]mesvsmes!D67</f>
        <v>10275858.68</v>
      </c>
      <c r="F67" s="36">
        <f t="shared" si="9"/>
        <v>0</v>
      </c>
      <c r="G67" s="161"/>
      <c r="H67" s="87">
        <f t="shared" si="7"/>
        <v>21416069.949999999</v>
      </c>
      <c r="I67" s="19">
        <f>+[1]mesvsmes!J67</f>
        <v>21416069.949999999</v>
      </c>
      <c r="J67" s="50">
        <f t="shared" si="8"/>
        <v>0</v>
      </c>
    </row>
    <row r="68" spans="1:11" x14ac:dyDescent="0.2">
      <c r="B68" s="151" t="s">
        <v>80</v>
      </c>
      <c r="C68" s="152"/>
      <c r="D68" s="98">
        <f>SUM(D62:D67)</f>
        <v>25877540.439999998</v>
      </c>
      <c r="E68" s="99">
        <f>+[1]mesvsmes!D68</f>
        <v>25877540.439999998</v>
      </c>
      <c r="F68" s="100">
        <f t="shared" si="9"/>
        <v>0</v>
      </c>
      <c r="G68" s="161"/>
      <c r="H68" s="98">
        <f>SUM(H62:H67)</f>
        <v>163297199.14999998</v>
      </c>
      <c r="I68" s="99">
        <f>+[1]mesvsmes!J68</f>
        <v>163297199.14999998</v>
      </c>
      <c r="J68" s="177">
        <f t="shared" si="8"/>
        <v>0</v>
      </c>
    </row>
    <row r="69" spans="1:11" x14ac:dyDescent="0.2">
      <c r="A69" s="159" t="s">
        <v>64</v>
      </c>
      <c r="B69" s="151"/>
      <c r="C69" s="152"/>
      <c r="D69" s="97">
        <f>+E69</f>
        <v>13409141.1</v>
      </c>
      <c r="E69" s="28">
        <f>+[1]mesvsmes!D69</f>
        <v>13409141.1</v>
      </c>
      <c r="F69" s="29">
        <f t="shared" si="9"/>
        <v>0</v>
      </c>
      <c r="G69" s="161"/>
      <c r="H69" s="97">
        <f>+I69</f>
        <v>73474826.439999998</v>
      </c>
      <c r="I69" s="28">
        <f>+[1]mesvsmes!J69</f>
        <v>73474826.439999998</v>
      </c>
      <c r="J69" s="178">
        <f>-SUM(I69-H69)</f>
        <v>0</v>
      </c>
    </row>
    <row r="70" spans="1:11" x14ac:dyDescent="0.2">
      <c r="A70" s="159" t="s">
        <v>81</v>
      </c>
      <c r="C70" s="152"/>
      <c r="D70" s="87">
        <f>+E70</f>
        <v>18171397.869999997</v>
      </c>
      <c r="E70" s="35">
        <f>+[1]mesvsmes!D70</f>
        <v>18171397.869999997</v>
      </c>
      <c r="F70" s="36">
        <f t="shared" si="9"/>
        <v>0</v>
      </c>
      <c r="G70" s="161"/>
      <c r="H70" s="87">
        <f>+I70</f>
        <v>61615483.049999997</v>
      </c>
      <c r="I70" s="19">
        <f>+[1]mesvsmes!J70</f>
        <v>61615483.049999997</v>
      </c>
      <c r="J70" s="82">
        <f>SUM(I70-H70)</f>
        <v>0</v>
      </c>
      <c r="K70" s="111"/>
    </row>
    <row r="71" spans="1:11" x14ac:dyDescent="0.2">
      <c r="A71" s="159" t="s">
        <v>82</v>
      </c>
      <c r="C71" s="152"/>
      <c r="D71" s="87">
        <v>0</v>
      </c>
      <c r="E71" s="35">
        <f>+[1]mesvsmes!D71</f>
        <v>0</v>
      </c>
      <c r="F71" s="36">
        <f t="shared" si="9"/>
        <v>0</v>
      </c>
      <c r="G71" s="161"/>
      <c r="H71" s="87">
        <f>+I71</f>
        <v>385911</v>
      </c>
      <c r="I71" s="35">
        <f>+[1]mesvsmes!J71</f>
        <v>385911</v>
      </c>
      <c r="J71" s="82">
        <f>SUM(I71-H71)</f>
        <v>0</v>
      </c>
    </row>
    <row r="72" spans="1:11" x14ac:dyDescent="0.2">
      <c r="B72" s="151" t="s">
        <v>83</v>
      </c>
      <c r="C72" s="161"/>
      <c r="D72" s="98">
        <f>SUM(D69:D71)</f>
        <v>31580538.969999999</v>
      </c>
      <c r="E72" s="99">
        <f>+[1]mesvsmes!D72</f>
        <v>31580539.969999999</v>
      </c>
      <c r="F72" s="100">
        <f>SUM(F69:F71)</f>
        <v>0</v>
      </c>
      <c r="G72" s="161"/>
      <c r="H72" s="98">
        <f>SUM(H69:H71)</f>
        <v>135476220.49000001</v>
      </c>
      <c r="I72" s="99">
        <f>SUM(I69:I71)</f>
        <v>135476220.49000001</v>
      </c>
      <c r="J72" s="179">
        <f>SUM(J69:J71)</f>
        <v>0</v>
      </c>
    </row>
    <row r="73" spans="1:11" x14ac:dyDescent="0.2">
      <c r="B73" s="151"/>
      <c r="C73" s="152" t="s">
        <v>84</v>
      </c>
      <c r="D73" s="56">
        <f>+D68+D72</f>
        <v>57458079.409999996</v>
      </c>
      <c r="E73" s="57">
        <f>+[1]mesvsmes!D73</f>
        <v>57458079.409999996</v>
      </c>
      <c r="F73" s="58">
        <f>SUM(E73-D73)</f>
        <v>0</v>
      </c>
      <c r="G73" s="165"/>
      <c r="H73" s="56">
        <f>+I73</f>
        <v>298773418.63999999</v>
      </c>
      <c r="I73" s="57">
        <f>+[1]mesvsmes!J73</f>
        <v>298773418.63999999</v>
      </c>
      <c r="J73" s="58">
        <f>SUM(I73-H73)</f>
        <v>0</v>
      </c>
    </row>
    <row r="74" spans="1:11" x14ac:dyDescent="0.2">
      <c r="C74" s="161"/>
      <c r="D74" s="18"/>
      <c r="E74" s="19"/>
      <c r="F74" s="20"/>
      <c r="G74" s="161"/>
      <c r="H74" s="18"/>
      <c r="I74" s="19"/>
      <c r="J74" s="23"/>
    </row>
    <row r="75" spans="1:11" x14ac:dyDescent="0.2">
      <c r="C75" s="152" t="s">
        <v>85</v>
      </c>
      <c r="D75" s="102">
        <f>+D60+D73</f>
        <v>260867199.80365583</v>
      </c>
      <c r="E75" s="57">
        <f>+[1]mesvsmes!D75</f>
        <v>349822289.30000007</v>
      </c>
      <c r="F75" s="58">
        <f>SUM(F60+F73)</f>
        <v>88955089.496344209</v>
      </c>
      <c r="G75" s="165"/>
      <c r="H75" s="102">
        <f>SUM(H60+H73)</f>
        <v>2087596144.9062591</v>
      </c>
      <c r="I75" s="180">
        <f>+[1]mesvsmes!J75</f>
        <v>2250070648.3099995</v>
      </c>
      <c r="J75" s="175">
        <f>SUM(J60+J73)</f>
        <v>162474503.40374064</v>
      </c>
    </row>
    <row r="76" spans="1:11" ht="13.5" thickBot="1" x14ac:dyDescent="0.25">
      <c r="A76" s="181" t="s">
        <v>86</v>
      </c>
      <c r="B76" s="182"/>
      <c r="C76" s="183"/>
      <c r="D76" s="106"/>
      <c r="E76" s="107">
        <f>+[1]mesvsmes!D76</f>
        <v>-128869493.1800001</v>
      </c>
      <c r="F76" s="108"/>
      <c r="G76" s="148"/>
      <c r="H76" s="106"/>
      <c r="I76" s="184">
        <f>+[1]mesvsmes!J76</f>
        <v>-180596487.7699995</v>
      </c>
      <c r="J76" s="185"/>
    </row>
    <row r="77" spans="1:11" x14ac:dyDescent="0.2">
      <c r="A77" s="186"/>
      <c r="B77" s="145"/>
      <c r="C77" s="145"/>
    </row>
    <row r="78" spans="1:11" x14ac:dyDescent="0.2">
      <c r="B78" s="151"/>
      <c r="H78" s="188"/>
    </row>
    <row r="79" spans="1:11" x14ac:dyDescent="0.2">
      <c r="H79" s="188"/>
    </row>
    <row r="80" spans="1:11" x14ac:dyDescent="0.2">
      <c r="D80" s="116"/>
      <c r="H80" s="189"/>
    </row>
    <row r="81" spans="4:8" x14ac:dyDescent="0.2">
      <c r="D81" s="190"/>
      <c r="H81" s="191"/>
    </row>
    <row r="82" spans="4:8" x14ac:dyDescent="0.2">
      <c r="H82" s="189"/>
    </row>
    <row r="83" spans="4:8" x14ac:dyDescent="0.2">
      <c r="H83" s="189"/>
    </row>
    <row r="84" spans="4:8" x14ac:dyDescent="0.2">
      <c r="H84" s="188"/>
    </row>
    <row r="85" spans="4:8" x14ac:dyDescent="0.2">
      <c r="H85" s="192"/>
    </row>
    <row r="86" spans="4:8" x14ac:dyDescent="0.2">
      <c r="H86" s="193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Lic. Ernesto Parra</cp:lastModifiedBy>
  <dcterms:created xsi:type="dcterms:W3CDTF">2015-01-26T16:36:40Z</dcterms:created>
  <dcterms:modified xsi:type="dcterms:W3CDTF">2015-01-31T00:01:57Z</dcterms:modified>
</cp:coreProperties>
</file>